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66925"/>
  <mc:AlternateContent xmlns:mc="http://schemas.openxmlformats.org/markup-compatibility/2006">
    <mc:Choice Requires="x15">
      <x15ac:absPath xmlns:x15ac="http://schemas.microsoft.com/office/spreadsheetml/2010/11/ac" url="C:\Users\nkorme\Desktop\Temp files\"/>
    </mc:Choice>
  </mc:AlternateContent>
  <xr:revisionPtr revIDLastSave="0" documentId="13_ncr:1_{C4E0B5CF-FC17-4A86-B9A5-DCD78B9069B5}" xr6:coauthVersionLast="47" xr6:coauthVersionMax="47" xr10:uidLastSave="{00000000-0000-0000-0000-000000000000}"/>
  <bookViews>
    <workbookView xWindow="-108" yWindow="-108" windowWidth="23256" windowHeight="12456" tabRatio="601" firstSheet="1" activeTab="1" xr2:uid="{2F04A451-767B-458A-84EC-F2B89EA83FB7}"/>
  </bookViews>
  <sheets>
    <sheet name="Data Validation" sheetId="11" state="hidden" r:id="rId1"/>
    <sheet name="Agency Projects" sheetId="2" r:id="rId2"/>
    <sheet name="Pivot Tables" sheetId="29" r:id="rId3"/>
    <sheet name="3.13.24 IFC" sheetId="30" state="hidden" r:id="rId4"/>
    <sheet name="Charts" sheetId="15" r:id="rId5"/>
  </sheets>
  <definedNames>
    <definedName name="_xlnm._FilterDatabase" localSheetId="1" hidden="1">'Agency Projects'!$A$2:$AP$156</definedName>
    <definedName name="_xlnm.Print_Area" localSheetId="1">'Agency Projects'!$A$9:$AL$32</definedName>
    <definedName name="_xlnm.Print_Area" localSheetId="4">Charts!$A$2:$H$58</definedName>
    <definedName name="_xlnm.Print_Titles" localSheetId="1">'Agency Projects'!$2:$2</definedName>
  </definedNames>
  <calcPr calcId="191028"/>
  <pivotCaches>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3" i="2" l="1"/>
  <c r="J82" i="2"/>
  <c r="J80" i="2"/>
  <c r="AA100" i="2"/>
  <c r="AD101" i="2"/>
  <c r="AD146" i="2" l="1"/>
  <c r="M119" i="2"/>
  <c r="X102" i="2"/>
  <c r="G102" i="2"/>
  <c r="AA55" i="2" l="1"/>
  <c r="AA39" i="2"/>
  <c r="AB39" i="2" s="1"/>
  <c r="AC39" i="2"/>
  <c r="AD39" i="2" s="1"/>
  <c r="AA40" i="2"/>
  <c r="AB40" i="2" s="1"/>
  <c r="AD40" i="2"/>
  <c r="AE40" i="2" s="1"/>
  <c r="AA41" i="2"/>
  <c r="AB41" i="2" s="1"/>
  <c r="AD41" i="2"/>
  <c r="AE41" i="2" s="1"/>
  <c r="AA42" i="2"/>
  <c r="AB42" i="2" s="1"/>
  <c r="AD42" i="2"/>
  <c r="AE42" i="2" s="1"/>
  <c r="AA43" i="2"/>
  <c r="AB43" i="2" s="1"/>
  <c r="AD43" i="2"/>
  <c r="AA44" i="2"/>
  <c r="AD44" i="2"/>
  <c r="AE44" i="2" s="1"/>
  <c r="AA45" i="2"/>
  <c r="AD45" i="2"/>
  <c r="AE45" i="2" s="1"/>
  <c r="AA46" i="2"/>
  <c r="AB46" i="2" s="1"/>
  <c r="AD46" i="2"/>
  <c r="AE46" i="2" s="1"/>
  <c r="M145" i="2"/>
  <c r="J145" i="2"/>
  <c r="L145" i="2" s="1"/>
  <c r="AC145" i="2"/>
  <c r="E61" i="15"/>
  <c r="C52" i="15"/>
  <c r="C69" i="15"/>
  <c r="C55" i="15"/>
  <c r="C71" i="15"/>
  <c r="C27" i="15"/>
  <c r="C32" i="15"/>
  <c r="C62" i="15"/>
  <c r="C53" i="15"/>
  <c r="E62" i="15"/>
  <c r="C28" i="15"/>
  <c r="C51" i="15"/>
  <c r="C56" i="15"/>
  <c r="C4" i="15"/>
  <c r="C29" i="15"/>
  <c r="E63" i="15"/>
  <c r="C70" i="15"/>
  <c r="E65" i="15"/>
  <c r="C30" i="15"/>
  <c r="C60" i="15"/>
  <c r="C65" i="15"/>
  <c r="C8" i="15"/>
  <c r="E64" i="15"/>
  <c r="C6" i="15"/>
  <c r="C31" i="15"/>
  <c r="C73" i="15"/>
  <c r="C63" i="15"/>
  <c r="C5" i="15"/>
  <c r="C54" i="15"/>
  <c r="C7" i="15"/>
  <c r="C74" i="15"/>
  <c r="C61" i="15"/>
  <c r="C64" i="15"/>
  <c r="C72" i="15"/>
  <c r="E60" i="15"/>
  <c r="AN43" i="2" l="1"/>
  <c r="AN40" i="2"/>
  <c r="AE43" i="2"/>
  <c r="AN45" i="2"/>
  <c r="AN42" i="2"/>
  <c r="AN44" i="2"/>
  <c r="AN46" i="2"/>
  <c r="AN39" i="2"/>
  <c r="AN41" i="2"/>
  <c r="C75" i="15"/>
  <c r="AH136" i="2"/>
  <c r="X149" i="2" l="1"/>
  <c r="AC67" i="2"/>
  <c r="D70" i="15" l="1"/>
  <c r="J52" i="2" l="1"/>
  <c r="O52" i="2"/>
  <c r="M52" i="2"/>
  <c r="AD153" i="2"/>
  <c r="L52" i="2" l="1"/>
  <c r="AE153" i="2"/>
  <c r="AA147" i="2"/>
  <c r="AB147" i="2" s="1"/>
  <c r="AD147" i="2"/>
  <c r="AE147" i="2" s="1"/>
  <c r="X147" i="2"/>
  <c r="L147" i="2"/>
  <c r="N147" i="2" s="1"/>
  <c r="G147" i="2"/>
  <c r="H147" i="2" s="1"/>
  <c r="AN147" i="2" l="1"/>
  <c r="AF147" i="2"/>
  <c r="AD67" i="2" l="1"/>
  <c r="AC33" i="2"/>
  <c r="AC37" i="2"/>
  <c r="J44" i="2" l="1"/>
  <c r="AA13" i="2" l="1"/>
  <c r="X25" i="2"/>
  <c r="K155" i="2" l="1"/>
  <c r="AA96" i="2" l="1"/>
  <c r="I95" i="2" l="1"/>
  <c r="O125" i="2" l="1"/>
  <c r="I125" i="2"/>
  <c r="AD31" i="2" l="1"/>
  <c r="AA31" i="2"/>
  <c r="AB31" i="2" s="1"/>
  <c r="AN31" i="2" l="1"/>
  <c r="AE31" i="2"/>
  <c r="X31" i="2" l="1"/>
  <c r="AF31" i="2" s="1"/>
  <c r="AD64" i="2" l="1"/>
  <c r="AA3" i="2" l="1"/>
  <c r="M39" i="2"/>
  <c r="AE39" i="2" s="1"/>
  <c r="J39" i="2"/>
  <c r="AA146" i="2"/>
  <c r="X146" i="2"/>
  <c r="AF146" i="2" s="1"/>
  <c r="L146" i="2"/>
  <c r="N146" i="2" s="1"/>
  <c r="G146" i="2"/>
  <c r="H146" i="2" s="1"/>
  <c r="J140" i="2"/>
  <c r="AC131" i="2"/>
  <c r="J131" i="2"/>
  <c r="AB146" i="2" l="1"/>
  <c r="AN146" i="2"/>
  <c r="AE146" i="2"/>
  <c r="I131" i="2"/>
  <c r="AC140" i="2"/>
  <c r="I140" i="2"/>
  <c r="AC134" i="2"/>
  <c r="J134" i="2"/>
  <c r="I134" i="2" l="1"/>
  <c r="I126" i="2"/>
  <c r="O126" i="2" l="1"/>
  <c r="AC132" i="2"/>
  <c r="J132" i="2"/>
  <c r="I132" i="2"/>
  <c r="I155" i="2" s="1"/>
  <c r="AC129" i="2" l="1"/>
  <c r="J129" i="2"/>
  <c r="M128" i="2" l="1"/>
  <c r="X137" i="2" l="1"/>
  <c r="X103" i="2"/>
  <c r="L10" i="2" l="1"/>
  <c r="AD154" i="2"/>
  <c r="AA154" i="2"/>
  <c r="X154" i="2"/>
  <c r="L154" i="2"/>
  <c r="N154" i="2" s="1"/>
  <c r="G154" i="2"/>
  <c r="H154" i="2" s="1"/>
  <c r="AN154" i="2" l="1"/>
  <c r="AF154" i="2"/>
  <c r="AE154" i="2"/>
  <c r="AD124" i="2" l="1"/>
  <c r="AA124" i="2"/>
  <c r="AB124" i="2" s="1"/>
  <c r="X124" i="2"/>
  <c r="L124" i="2"/>
  <c r="N124" i="2" s="1"/>
  <c r="G124" i="2"/>
  <c r="H124" i="2" s="1"/>
  <c r="AN124" i="2" l="1"/>
  <c r="AF124" i="2"/>
  <c r="AE124" i="2"/>
  <c r="J37" i="2" l="1"/>
  <c r="AD37" i="2"/>
  <c r="AE37" i="2" l="1"/>
  <c r="J155" i="2" l="1"/>
  <c r="M155" i="2"/>
  <c r="L4" i="2"/>
  <c r="N4" i="2" s="1"/>
  <c r="L5" i="2"/>
  <c r="N5" i="2" s="1"/>
  <c r="L6" i="2"/>
  <c r="N6" i="2" s="1"/>
  <c r="L7" i="2"/>
  <c r="N7" i="2" s="1"/>
  <c r="L8" i="2"/>
  <c r="N8" i="2" s="1"/>
  <c r="L9" i="2"/>
  <c r="N9" i="2" s="1"/>
  <c r="N10" i="2"/>
  <c r="L11" i="2"/>
  <c r="N11" i="2" s="1"/>
  <c r="L12" i="2"/>
  <c r="N12" i="2" s="1"/>
  <c r="L13" i="2"/>
  <c r="N13" i="2" s="1"/>
  <c r="L14" i="2"/>
  <c r="N14" i="2" s="1"/>
  <c r="L15" i="2"/>
  <c r="N15" i="2" s="1"/>
  <c r="L16" i="2"/>
  <c r="N16" i="2" s="1"/>
  <c r="L17" i="2"/>
  <c r="N17" i="2" s="1"/>
  <c r="L18" i="2"/>
  <c r="N18" i="2" s="1"/>
  <c r="L19" i="2"/>
  <c r="N19" i="2" s="1"/>
  <c r="L20" i="2"/>
  <c r="N20" i="2" s="1"/>
  <c r="L21" i="2"/>
  <c r="N21" i="2" s="1"/>
  <c r="L22" i="2"/>
  <c r="N22" i="2" s="1"/>
  <c r="L23" i="2"/>
  <c r="N23" i="2" s="1"/>
  <c r="L24" i="2"/>
  <c r="N24" i="2" s="1"/>
  <c r="L25" i="2"/>
  <c r="N25" i="2" s="1"/>
  <c r="L26" i="2"/>
  <c r="N26" i="2" s="1"/>
  <c r="L27" i="2"/>
  <c r="N27" i="2" s="1"/>
  <c r="L28" i="2"/>
  <c r="N28" i="2" s="1"/>
  <c r="L29" i="2"/>
  <c r="N29" i="2" s="1"/>
  <c r="L30" i="2"/>
  <c r="N30" i="2" s="1"/>
  <c r="L32" i="2"/>
  <c r="N32" i="2" s="1"/>
  <c r="L33" i="2"/>
  <c r="N33" i="2" s="1"/>
  <c r="L34" i="2"/>
  <c r="N34" i="2" s="1"/>
  <c r="L35" i="2"/>
  <c r="N35" i="2" s="1"/>
  <c r="L36" i="2"/>
  <c r="N36" i="2" s="1"/>
  <c r="L37" i="2"/>
  <c r="N37" i="2" s="1"/>
  <c r="L38" i="2"/>
  <c r="N38" i="2" s="1"/>
  <c r="L39" i="2"/>
  <c r="N39" i="2" s="1"/>
  <c r="L40" i="2"/>
  <c r="N40" i="2" s="1"/>
  <c r="L41" i="2"/>
  <c r="N41" i="2" s="1"/>
  <c r="L42" i="2"/>
  <c r="N42" i="2" s="1"/>
  <c r="L43" i="2"/>
  <c r="N43" i="2" s="1"/>
  <c r="L44" i="2"/>
  <c r="N44" i="2" s="1"/>
  <c r="L45" i="2"/>
  <c r="N45" i="2" s="1"/>
  <c r="L46" i="2"/>
  <c r="N46" i="2" s="1"/>
  <c r="L47" i="2"/>
  <c r="N47" i="2" s="1"/>
  <c r="L48" i="2"/>
  <c r="N48" i="2" s="1"/>
  <c r="L49" i="2"/>
  <c r="N49" i="2" s="1"/>
  <c r="L50" i="2"/>
  <c r="N50" i="2" s="1"/>
  <c r="L51" i="2"/>
  <c r="N51" i="2" s="1"/>
  <c r="N52" i="2"/>
  <c r="L53" i="2"/>
  <c r="N53" i="2" s="1"/>
  <c r="L54" i="2"/>
  <c r="N54" i="2" s="1"/>
  <c r="L55" i="2"/>
  <c r="N55" i="2" s="1"/>
  <c r="L56" i="2"/>
  <c r="N56" i="2" s="1"/>
  <c r="L57" i="2"/>
  <c r="N57" i="2" s="1"/>
  <c r="L58" i="2"/>
  <c r="N58" i="2" s="1"/>
  <c r="L59" i="2"/>
  <c r="N59" i="2" s="1"/>
  <c r="L60" i="2"/>
  <c r="N60" i="2" s="1"/>
  <c r="L61" i="2"/>
  <c r="N61" i="2" s="1"/>
  <c r="L62" i="2"/>
  <c r="N62" i="2" s="1"/>
  <c r="L63" i="2"/>
  <c r="N63" i="2" s="1"/>
  <c r="L64" i="2"/>
  <c r="N64" i="2" s="1"/>
  <c r="L65" i="2"/>
  <c r="N65" i="2" s="1"/>
  <c r="L66" i="2"/>
  <c r="N66" i="2" s="1"/>
  <c r="L67" i="2"/>
  <c r="N67" i="2" s="1"/>
  <c r="L68" i="2"/>
  <c r="N68" i="2" s="1"/>
  <c r="L69" i="2"/>
  <c r="N69" i="2" s="1"/>
  <c r="L70" i="2"/>
  <c r="N70" i="2" s="1"/>
  <c r="L71" i="2"/>
  <c r="N71" i="2" s="1"/>
  <c r="L72" i="2"/>
  <c r="N72" i="2" s="1"/>
  <c r="L73" i="2"/>
  <c r="N73" i="2" s="1"/>
  <c r="L74" i="2"/>
  <c r="N74" i="2" s="1"/>
  <c r="L75" i="2"/>
  <c r="N75" i="2" s="1"/>
  <c r="L76" i="2"/>
  <c r="N76" i="2" s="1"/>
  <c r="L77" i="2"/>
  <c r="N77" i="2" s="1"/>
  <c r="L78" i="2"/>
  <c r="N78" i="2" s="1"/>
  <c r="L79" i="2"/>
  <c r="N79" i="2" s="1"/>
  <c r="L80" i="2"/>
  <c r="N80" i="2" s="1"/>
  <c r="L81" i="2"/>
  <c r="N81" i="2" s="1"/>
  <c r="L82" i="2"/>
  <c r="N82" i="2" s="1"/>
  <c r="L83" i="2"/>
  <c r="N83" i="2" s="1"/>
  <c r="L84" i="2"/>
  <c r="N84" i="2" s="1"/>
  <c r="L85" i="2"/>
  <c r="N85" i="2" s="1"/>
  <c r="L86" i="2"/>
  <c r="N86" i="2" s="1"/>
  <c r="L87" i="2"/>
  <c r="N87" i="2" s="1"/>
  <c r="L88" i="2"/>
  <c r="N88" i="2" s="1"/>
  <c r="L89" i="2"/>
  <c r="N89" i="2" s="1"/>
  <c r="L90" i="2"/>
  <c r="N90" i="2" s="1"/>
  <c r="L91" i="2"/>
  <c r="N91" i="2" s="1"/>
  <c r="L92" i="2"/>
  <c r="N92" i="2" s="1"/>
  <c r="L93" i="2"/>
  <c r="N93" i="2" s="1"/>
  <c r="L94" i="2"/>
  <c r="L95" i="2"/>
  <c r="N95" i="2" s="1"/>
  <c r="L96" i="2"/>
  <c r="N96" i="2" s="1"/>
  <c r="L97" i="2"/>
  <c r="N97" i="2" s="1"/>
  <c r="L98" i="2"/>
  <c r="N98" i="2" s="1"/>
  <c r="L99" i="2"/>
  <c r="N99" i="2" s="1"/>
  <c r="L100" i="2"/>
  <c r="N100" i="2" s="1"/>
  <c r="L101" i="2"/>
  <c r="N101" i="2" s="1"/>
  <c r="L102" i="2"/>
  <c r="N102" i="2" s="1"/>
  <c r="L103" i="2"/>
  <c r="N103" i="2" s="1"/>
  <c r="L104" i="2"/>
  <c r="N104" i="2" s="1"/>
  <c r="L105" i="2"/>
  <c r="N105" i="2" s="1"/>
  <c r="L106" i="2"/>
  <c r="N106" i="2" s="1"/>
  <c r="L107" i="2"/>
  <c r="N107" i="2" s="1"/>
  <c r="L108" i="2"/>
  <c r="N108" i="2" s="1"/>
  <c r="L109" i="2"/>
  <c r="N109" i="2" s="1"/>
  <c r="L110" i="2"/>
  <c r="N110" i="2" s="1"/>
  <c r="L111" i="2"/>
  <c r="N111" i="2" s="1"/>
  <c r="L112" i="2"/>
  <c r="N112" i="2" s="1"/>
  <c r="L113" i="2"/>
  <c r="N113" i="2" s="1"/>
  <c r="L114" i="2"/>
  <c r="N114" i="2" s="1"/>
  <c r="L115" i="2"/>
  <c r="N115" i="2" s="1"/>
  <c r="L116" i="2"/>
  <c r="N116" i="2" s="1"/>
  <c r="L117" i="2"/>
  <c r="N117" i="2" s="1"/>
  <c r="L118" i="2"/>
  <c r="N118" i="2" s="1"/>
  <c r="L119" i="2"/>
  <c r="N119" i="2" s="1"/>
  <c r="L120" i="2"/>
  <c r="N120" i="2" s="1"/>
  <c r="L121" i="2"/>
  <c r="N121" i="2" s="1"/>
  <c r="L122" i="2"/>
  <c r="N122" i="2" s="1"/>
  <c r="L123" i="2"/>
  <c r="N123" i="2" s="1"/>
  <c r="L125" i="2"/>
  <c r="N125" i="2" s="1"/>
  <c r="L126" i="2"/>
  <c r="N126" i="2" s="1"/>
  <c r="L127" i="2"/>
  <c r="N127" i="2" s="1"/>
  <c r="L128" i="2"/>
  <c r="N128" i="2" s="1"/>
  <c r="L129" i="2"/>
  <c r="N129" i="2" s="1"/>
  <c r="L130" i="2"/>
  <c r="N130" i="2" s="1"/>
  <c r="L131" i="2"/>
  <c r="N131" i="2" s="1"/>
  <c r="L132" i="2"/>
  <c r="N132" i="2" s="1"/>
  <c r="L133" i="2"/>
  <c r="N133" i="2" s="1"/>
  <c r="L134" i="2"/>
  <c r="N134" i="2" s="1"/>
  <c r="L135" i="2"/>
  <c r="N135" i="2" s="1"/>
  <c r="L136" i="2"/>
  <c r="N136" i="2" s="1"/>
  <c r="L137" i="2"/>
  <c r="N137" i="2" s="1"/>
  <c r="L138" i="2"/>
  <c r="N138" i="2" s="1"/>
  <c r="L139" i="2"/>
  <c r="N139" i="2" s="1"/>
  <c r="L140" i="2"/>
  <c r="N140" i="2" s="1"/>
  <c r="L141" i="2"/>
  <c r="N141" i="2" s="1"/>
  <c r="L142" i="2"/>
  <c r="N142" i="2" s="1"/>
  <c r="L143" i="2"/>
  <c r="N143" i="2" s="1"/>
  <c r="L144" i="2"/>
  <c r="N144" i="2" s="1"/>
  <c r="N145" i="2"/>
  <c r="L148" i="2"/>
  <c r="N148" i="2" s="1"/>
  <c r="L149" i="2"/>
  <c r="N149" i="2" s="1"/>
  <c r="L150" i="2"/>
  <c r="N150" i="2" s="1"/>
  <c r="L152" i="2"/>
  <c r="N152" i="2" s="1"/>
  <c r="L153" i="2"/>
  <c r="N153" i="2" s="1"/>
  <c r="L151" i="2"/>
  <c r="N151" i="2" s="1"/>
  <c r="AE62" i="2"/>
  <c r="L3" i="2"/>
  <c r="D74" i="15"/>
  <c r="G61" i="15"/>
  <c r="G62" i="15"/>
  <c r="G63" i="15"/>
  <c r="G64" i="15"/>
  <c r="G65" i="15"/>
  <c r="G60" i="15"/>
  <c r="E66" i="15"/>
  <c r="F62" i="15" s="1"/>
  <c r="C66" i="15"/>
  <c r="N3" i="2" l="1"/>
  <c r="L155" i="2"/>
  <c r="D61" i="15"/>
  <c r="D63" i="15"/>
  <c r="D60" i="15"/>
  <c r="D64" i="15"/>
  <c r="D65" i="15"/>
  <c r="D62" i="15"/>
  <c r="F60" i="15"/>
  <c r="F65" i="15"/>
  <c r="F63" i="15"/>
  <c r="F61" i="15"/>
  <c r="F64" i="15"/>
  <c r="D71" i="15"/>
  <c r="D72" i="15"/>
  <c r="D73" i="15"/>
  <c r="D69" i="15"/>
  <c r="N94" i="2"/>
  <c r="AA145" i="2"/>
  <c r="AA94" i="2"/>
  <c r="C57" i="15"/>
  <c r="D52" i="15" s="1"/>
  <c r="C33" i="15"/>
  <c r="C9" i="15"/>
  <c r="N155" i="2" l="1"/>
  <c r="D75" i="15"/>
  <c r="D66" i="15"/>
  <c r="F66" i="15"/>
  <c r="D7" i="15"/>
  <c r="D6" i="15"/>
  <c r="D51" i="15"/>
  <c r="D56" i="15"/>
  <c r="D55" i="15"/>
  <c r="D54" i="15"/>
  <c r="D53" i="15"/>
  <c r="AD63" i="2"/>
  <c r="X63" i="2"/>
  <c r="AD50" i="2"/>
  <c r="X65" i="2"/>
  <c r="AD94" i="2"/>
  <c r="AE50" i="2" l="1"/>
  <c r="AE63" i="2"/>
  <c r="AE94" i="2"/>
  <c r="AN94" i="2"/>
  <c r="D57" i="15"/>
  <c r="AD144" i="2"/>
  <c r="AD143" i="2"/>
  <c r="AD142" i="2"/>
  <c r="AD141" i="2"/>
  <c r="AD133" i="2"/>
  <c r="AD128" i="2"/>
  <c r="AD119" i="2"/>
  <c r="AD107" i="2"/>
  <c r="AD105" i="2"/>
  <c r="AD104" i="2"/>
  <c r="D28" i="15"/>
  <c r="D29" i="15"/>
  <c r="D30" i="15"/>
  <c r="D31" i="15"/>
  <c r="D32" i="15"/>
  <c r="D27" i="15"/>
  <c r="D5" i="15"/>
  <c r="D8" i="15"/>
  <c r="D4" i="15"/>
  <c r="F9" i="30"/>
  <c r="F23" i="30"/>
  <c r="F4" i="30"/>
  <c r="F5" i="30"/>
  <c r="F6" i="30"/>
  <c r="F7" i="30"/>
  <c r="F8" i="30"/>
  <c r="F10" i="30"/>
  <c r="F11" i="30"/>
  <c r="F12" i="30"/>
  <c r="F13" i="30"/>
  <c r="F14" i="30"/>
  <c r="F15" i="30"/>
  <c r="F16" i="30"/>
  <c r="F17" i="30"/>
  <c r="F18" i="30"/>
  <c r="F19" i="30"/>
  <c r="F20" i="30"/>
  <c r="F21" i="30"/>
  <c r="F22" i="30"/>
  <c r="F3" i="30"/>
  <c r="E23" i="30"/>
  <c r="C23" i="30"/>
  <c r="AE119" i="2" l="1"/>
  <c r="AE128" i="2"/>
  <c r="AE133" i="2"/>
  <c r="AE141" i="2"/>
  <c r="AE142" i="2"/>
  <c r="AE143" i="2"/>
  <c r="AE144" i="2"/>
  <c r="AE104" i="2"/>
  <c r="AE105" i="2"/>
  <c r="AE107" i="2"/>
  <c r="D9" i="15"/>
  <c r="D33" i="15"/>
  <c r="AA76" i="2"/>
  <c r="O145" i="2"/>
  <c r="AD106" i="2" l="1"/>
  <c r="AE106" i="2" l="1"/>
  <c r="AD120" i="2"/>
  <c r="AA67" i="2"/>
  <c r="AN67" i="2" s="1"/>
  <c r="G83" i="2"/>
  <c r="X34" i="2"/>
  <c r="AA34" i="2"/>
  <c r="AB34" i="2" s="1"/>
  <c r="AD33" i="2"/>
  <c r="AD98" i="2"/>
  <c r="AE98" i="2" s="1"/>
  <c r="G3" i="2"/>
  <c r="H3" i="2" s="1"/>
  <c r="O140" i="2"/>
  <c r="O134" i="2"/>
  <c r="AD134" i="2" s="1"/>
  <c r="O132" i="2"/>
  <c r="O131" i="2"/>
  <c r="AD131" i="2" s="1"/>
  <c r="AE131" i="2" l="1"/>
  <c r="AE120" i="2"/>
  <c r="AE134" i="2"/>
  <c r="AE33" i="2"/>
  <c r="AD132" i="2"/>
  <c r="AE132" i="2" l="1"/>
  <c r="X94" i="2" l="1"/>
  <c r="AA98" i="2" l="1"/>
  <c r="AN98" i="2" s="1"/>
  <c r="AD27" i="2"/>
  <c r="AE27" i="2" l="1"/>
  <c r="Z155" i="2"/>
  <c r="AD151" i="2"/>
  <c r="X151" i="2"/>
  <c r="AC155" i="2"/>
  <c r="AD4" i="2"/>
  <c r="AD5" i="2"/>
  <c r="AD9" i="2"/>
  <c r="AD10" i="2"/>
  <c r="AD11" i="2"/>
  <c r="AD12" i="2"/>
  <c r="AD13" i="2"/>
  <c r="AD14" i="2"/>
  <c r="AD15" i="2"/>
  <c r="AD16" i="2"/>
  <c r="AD17" i="2"/>
  <c r="AD18" i="2"/>
  <c r="AD19" i="2"/>
  <c r="AD20" i="2"/>
  <c r="AD21" i="2"/>
  <c r="AD22" i="2"/>
  <c r="AD23" i="2"/>
  <c r="AD24" i="2"/>
  <c r="AD25" i="2"/>
  <c r="AD26" i="2"/>
  <c r="AD28" i="2"/>
  <c r="AD29" i="2"/>
  <c r="AD30" i="2"/>
  <c r="AD32" i="2"/>
  <c r="AD34" i="2"/>
  <c r="AN34" i="2" s="1"/>
  <c r="AD35" i="2"/>
  <c r="AD36" i="2"/>
  <c r="AD38" i="2"/>
  <c r="AD47" i="2"/>
  <c r="AD48" i="2"/>
  <c r="AD68" i="2"/>
  <c r="AD69" i="2"/>
  <c r="AD70" i="2"/>
  <c r="AD66" i="2"/>
  <c r="AD75" i="2"/>
  <c r="AE67" i="2"/>
  <c r="AD58" i="2"/>
  <c r="AD57" i="2"/>
  <c r="AD59" i="2"/>
  <c r="AD60" i="2"/>
  <c r="AD89" i="2"/>
  <c r="AD78" i="2"/>
  <c r="AD79" i="2"/>
  <c r="AD84" i="2"/>
  <c r="AD77" i="2"/>
  <c r="AD80" i="2"/>
  <c r="AD81" i="2"/>
  <c r="AD86" i="2"/>
  <c r="AD49" i="2"/>
  <c r="AD51" i="2"/>
  <c r="AD74" i="2"/>
  <c r="AD72" i="2"/>
  <c r="AD73" i="2"/>
  <c r="AD85" i="2"/>
  <c r="AD87" i="2"/>
  <c r="AD90" i="2"/>
  <c r="AD91" i="2"/>
  <c r="AD92" i="2"/>
  <c r="AD93" i="2"/>
  <c r="AD65" i="2"/>
  <c r="AD71" i="2"/>
  <c r="AD61" i="2"/>
  <c r="AD76" i="2"/>
  <c r="AE64" i="2"/>
  <c r="AD54" i="2"/>
  <c r="AD82" i="2"/>
  <c r="AD88" i="2"/>
  <c r="AD52" i="2"/>
  <c r="AD55" i="2"/>
  <c r="AD56" i="2"/>
  <c r="AD95" i="2"/>
  <c r="AD96" i="2"/>
  <c r="AD97" i="2"/>
  <c r="AD99" i="2"/>
  <c r="AD100" i="2"/>
  <c r="AD102" i="2"/>
  <c r="AD103" i="2"/>
  <c r="AD108" i="2"/>
  <c r="AD109" i="2"/>
  <c r="AD110" i="2"/>
  <c r="AD111" i="2"/>
  <c r="AD112" i="2"/>
  <c r="AD113" i="2"/>
  <c r="AD114" i="2"/>
  <c r="AD115" i="2"/>
  <c r="AD116" i="2"/>
  <c r="AD117" i="2"/>
  <c r="AD118" i="2"/>
  <c r="AD121" i="2"/>
  <c r="AD122" i="2"/>
  <c r="AD123" i="2"/>
  <c r="AD125" i="2"/>
  <c r="AD126" i="2"/>
  <c r="AD127" i="2"/>
  <c r="AD129" i="2"/>
  <c r="AD130" i="2"/>
  <c r="AD135" i="2"/>
  <c r="AD136" i="2"/>
  <c r="AD137" i="2"/>
  <c r="AD138" i="2"/>
  <c r="AD139" i="2"/>
  <c r="AD145" i="2"/>
  <c r="AD148" i="2"/>
  <c r="AD149" i="2"/>
  <c r="AD152" i="2"/>
  <c r="AD83" i="2"/>
  <c r="AD3" i="2"/>
  <c r="X5" i="2"/>
  <c r="X4" i="2"/>
  <c r="X3" i="2"/>
  <c r="AE126" i="2" l="1"/>
  <c r="AE66" i="2"/>
  <c r="AE24" i="2"/>
  <c r="AE56" i="2"/>
  <c r="AE92" i="2"/>
  <c r="AE149" i="2"/>
  <c r="AE125" i="2"/>
  <c r="AE110" i="2"/>
  <c r="AE55" i="2"/>
  <c r="AE91" i="2"/>
  <c r="AE77" i="2"/>
  <c r="AE70" i="2"/>
  <c r="AE11" i="2"/>
  <c r="AE123" i="2"/>
  <c r="AE109" i="2"/>
  <c r="AE52" i="2"/>
  <c r="AE90" i="2"/>
  <c r="AE84" i="2"/>
  <c r="AE69" i="2"/>
  <c r="AE22" i="2"/>
  <c r="AE10" i="2"/>
  <c r="AE20" i="2"/>
  <c r="AE102" i="2"/>
  <c r="AE101" i="2"/>
  <c r="AE60" i="2"/>
  <c r="AE100" i="2"/>
  <c r="AE74" i="2"/>
  <c r="AE17" i="2"/>
  <c r="AE152" i="2"/>
  <c r="AE88" i="2"/>
  <c r="AE118" i="2"/>
  <c r="AE89" i="2"/>
  <c r="AE47" i="2"/>
  <c r="AE72" i="2"/>
  <c r="AE32" i="2"/>
  <c r="AE136" i="2"/>
  <c r="AE135" i="2"/>
  <c r="AE115" i="2"/>
  <c r="AE99" i="2"/>
  <c r="AE61" i="2"/>
  <c r="AE51" i="2"/>
  <c r="AE57" i="2"/>
  <c r="AE29" i="2"/>
  <c r="AE16" i="2"/>
  <c r="AE151" i="2"/>
  <c r="AE54" i="2"/>
  <c r="AE19" i="2"/>
  <c r="AE116" i="2"/>
  <c r="AE76" i="2"/>
  <c r="AN76" i="2"/>
  <c r="AE59" i="2"/>
  <c r="AE3" i="2"/>
  <c r="AN3" i="2"/>
  <c r="AE130" i="2"/>
  <c r="AE114" i="2"/>
  <c r="AE97" i="2"/>
  <c r="AE71" i="2"/>
  <c r="AE49" i="2"/>
  <c r="AE58" i="2"/>
  <c r="AE28" i="2"/>
  <c r="AE79" i="2"/>
  <c r="AE113" i="2"/>
  <c r="AE111" i="2"/>
  <c r="AE148" i="2"/>
  <c r="AE145" i="2"/>
  <c r="AN145" i="2"/>
  <c r="AE122" i="2"/>
  <c r="AE108" i="2"/>
  <c r="AE87" i="2"/>
  <c r="AE68" i="2"/>
  <c r="AE139" i="2"/>
  <c r="AE121" i="2"/>
  <c r="AF103" i="2"/>
  <c r="AE82" i="2"/>
  <c r="AE85" i="2"/>
  <c r="AE78" i="2"/>
  <c r="AE5" i="2"/>
  <c r="AE138" i="2"/>
  <c r="AE73" i="2"/>
  <c r="AE4" i="2"/>
  <c r="AE117" i="2"/>
  <c r="AE83" i="2"/>
  <c r="AE129" i="2"/>
  <c r="AE96" i="2"/>
  <c r="AN96" i="2"/>
  <c r="AE65" i="2"/>
  <c r="AE86" i="2"/>
  <c r="AE127" i="2"/>
  <c r="AE112" i="2"/>
  <c r="AE95" i="2"/>
  <c r="AE93" i="2"/>
  <c r="AE81" i="2"/>
  <c r="AE75" i="2"/>
  <c r="AE21" i="2"/>
  <c r="AE9" i="2"/>
  <c r="AE30" i="2"/>
  <c r="AE23" i="2"/>
  <c r="AE15" i="2"/>
  <c r="AE18" i="2"/>
  <c r="AE26" i="2"/>
  <c r="AE14" i="2"/>
  <c r="AE25" i="2"/>
  <c r="AE13" i="2"/>
  <c r="AE38" i="2"/>
  <c r="AE48" i="2"/>
  <c r="AE34" i="2"/>
  <c r="AE36" i="2"/>
  <c r="AE35" i="2"/>
  <c r="AE12" i="2"/>
  <c r="AE137" i="2"/>
  <c r="AF137" i="2"/>
  <c r="AE103" i="2"/>
  <c r="AF4" i="2"/>
  <c r="AF3" i="2"/>
  <c r="AF151" i="2"/>
  <c r="AF5" i="2"/>
  <c r="AA5" i="2"/>
  <c r="AN5" i="2" s="1"/>
  <c r="AA6" i="2"/>
  <c r="AA7" i="2"/>
  <c r="AA8" i="2"/>
  <c r="AA33" i="2"/>
  <c r="AN33" i="2" s="1"/>
  <c r="AA35" i="2"/>
  <c r="AN35" i="2" s="1"/>
  <c r="AA36" i="2"/>
  <c r="AN36" i="2" s="1"/>
  <c r="AA37" i="2"/>
  <c r="AN37" i="2" s="1"/>
  <c r="AA38" i="2"/>
  <c r="AN38" i="2" s="1"/>
  <c r="AA47" i="2"/>
  <c r="AA48" i="2"/>
  <c r="AN48" i="2" s="1"/>
  <c r="AA68" i="2"/>
  <c r="AN68" i="2" s="1"/>
  <c r="AA69" i="2"/>
  <c r="AN69" i="2" s="1"/>
  <c r="AA70" i="2"/>
  <c r="AN70" i="2" s="1"/>
  <c r="AA66" i="2"/>
  <c r="AN66" i="2" s="1"/>
  <c r="AA75" i="2"/>
  <c r="AN75" i="2" s="1"/>
  <c r="AA62" i="2"/>
  <c r="AN62" i="2" s="1"/>
  <c r="AA63" i="2"/>
  <c r="AN63" i="2" s="1"/>
  <c r="AA58" i="2"/>
  <c r="AN58" i="2" s="1"/>
  <c r="AA57" i="2"/>
  <c r="AN57" i="2" s="1"/>
  <c r="AA59" i="2"/>
  <c r="AN59" i="2" s="1"/>
  <c r="AA60" i="2"/>
  <c r="AN60" i="2" s="1"/>
  <c r="AA89" i="2"/>
  <c r="AN89" i="2" s="1"/>
  <c r="AA78" i="2"/>
  <c r="AN78" i="2" s="1"/>
  <c r="AA79" i="2"/>
  <c r="AN79" i="2" s="1"/>
  <c r="AA84" i="2"/>
  <c r="AB84" i="2" s="1"/>
  <c r="AA77" i="2"/>
  <c r="AN77" i="2" s="1"/>
  <c r="AA80" i="2"/>
  <c r="AN80" i="2" s="1"/>
  <c r="AA81" i="2"/>
  <c r="AN81" i="2" s="1"/>
  <c r="AA50" i="2"/>
  <c r="AN50" i="2" s="1"/>
  <c r="AA86" i="2"/>
  <c r="AN86" i="2" s="1"/>
  <c r="AA49" i="2"/>
  <c r="AN49" i="2" s="1"/>
  <c r="AA51" i="2"/>
  <c r="AN51" i="2" s="1"/>
  <c r="AA74" i="2"/>
  <c r="AA72" i="2"/>
  <c r="AN72" i="2" s="1"/>
  <c r="AA53" i="2"/>
  <c r="AN53" i="2" s="1"/>
  <c r="AA73" i="2"/>
  <c r="AN73" i="2" s="1"/>
  <c r="AA85" i="2"/>
  <c r="AN85" i="2" s="1"/>
  <c r="AA87" i="2"/>
  <c r="AN87" i="2" s="1"/>
  <c r="AA90" i="2"/>
  <c r="AN90" i="2" s="1"/>
  <c r="AA91" i="2"/>
  <c r="AN91" i="2" s="1"/>
  <c r="AA92" i="2"/>
  <c r="AN92" i="2" s="1"/>
  <c r="AA93" i="2"/>
  <c r="AN93" i="2" s="1"/>
  <c r="AA65" i="2"/>
  <c r="AN65" i="2" s="1"/>
  <c r="AA71" i="2"/>
  <c r="AN71" i="2" s="1"/>
  <c r="AA61" i="2"/>
  <c r="AN61" i="2" s="1"/>
  <c r="AA64" i="2"/>
  <c r="AN64" i="2" s="1"/>
  <c r="AA54" i="2"/>
  <c r="AN54" i="2" s="1"/>
  <c r="AA82" i="2"/>
  <c r="AN82" i="2" s="1"/>
  <c r="AA88" i="2"/>
  <c r="AN88" i="2" s="1"/>
  <c r="AA52" i="2"/>
  <c r="AN52" i="2" s="1"/>
  <c r="AN55" i="2"/>
  <c r="AA56" i="2"/>
  <c r="AN56" i="2" s="1"/>
  <c r="AA95" i="2"/>
  <c r="AN95" i="2" s="1"/>
  <c r="AA97" i="2"/>
  <c r="AN97" i="2" s="1"/>
  <c r="AA99" i="2"/>
  <c r="AN99" i="2" s="1"/>
  <c r="AN100" i="2"/>
  <c r="AA101" i="2"/>
  <c r="AN101" i="2" s="1"/>
  <c r="AA102" i="2"/>
  <c r="AN102" i="2" s="1"/>
  <c r="AA103" i="2"/>
  <c r="AN103" i="2" s="1"/>
  <c r="AA104" i="2"/>
  <c r="AN104" i="2" s="1"/>
  <c r="AA105" i="2"/>
  <c r="AN105" i="2" s="1"/>
  <c r="AA106" i="2"/>
  <c r="AN106" i="2" s="1"/>
  <c r="AA107" i="2"/>
  <c r="AN107" i="2" s="1"/>
  <c r="AA108" i="2"/>
  <c r="AN108" i="2" s="1"/>
  <c r="AA109" i="2"/>
  <c r="AN109" i="2" s="1"/>
  <c r="AA110" i="2"/>
  <c r="AN110" i="2" s="1"/>
  <c r="AA111" i="2"/>
  <c r="AN111" i="2" s="1"/>
  <c r="AA112" i="2"/>
  <c r="AN112" i="2" s="1"/>
  <c r="AA113" i="2"/>
  <c r="AN113" i="2" s="1"/>
  <c r="AA114" i="2"/>
  <c r="AN114" i="2" s="1"/>
  <c r="AA115" i="2"/>
  <c r="AN115" i="2" s="1"/>
  <c r="AA116" i="2"/>
  <c r="AN116" i="2" s="1"/>
  <c r="AA117" i="2"/>
  <c r="AN117" i="2" s="1"/>
  <c r="AA118" i="2"/>
  <c r="AN118" i="2" s="1"/>
  <c r="AA119" i="2"/>
  <c r="AN119" i="2" s="1"/>
  <c r="AA120" i="2"/>
  <c r="AN120" i="2" s="1"/>
  <c r="AO120" i="2" s="1"/>
  <c r="AA121" i="2"/>
  <c r="AN121" i="2" s="1"/>
  <c r="AA122" i="2"/>
  <c r="AN122" i="2" s="1"/>
  <c r="AA123" i="2"/>
  <c r="AN123" i="2" s="1"/>
  <c r="AA125" i="2"/>
  <c r="AN125" i="2" s="1"/>
  <c r="AA126" i="2"/>
  <c r="AN126" i="2" s="1"/>
  <c r="AA127" i="2"/>
  <c r="AN127" i="2" s="1"/>
  <c r="AA128" i="2"/>
  <c r="AN128" i="2" s="1"/>
  <c r="AA129" i="2"/>
  <c r="AN129" i="2" s="1"/>
  <c r="AA130" i="2"/>
  <c r="AN130" i="2" s="1"/>
  <c r="AA131" i="2"/>
  <c r="AN131" i="2" s="1"/>
  <c r="AA132" i="2"/>
  <c r="AN132" i="2" s="1"/>
  <c r="AN133" i="2"/>
  <c r="AA134" i="2"/>
  <c r="AN134" i="2" s="1"/>
  <c r="AA135" i="2"/>
  <c r="AN135" i="2" s="1"/>
  <c r="AA136" i="2"/>
  <c r="AN136" i="2" s="1"/>
  <c r="AA137" i="2"/>
  <c r="AN137" i="2" s="1"/>
  <c r="AA138" i="2"/>
  <c r="AN138" i="2" s="1"/>
  <c r="AA139" i="2"/>
  <c r="AN139" i="2" s="1"/>
  <c r="AA140" i="2"/>
  <c r="AA141" i="2"/>
  <c r="AN141" i="2" s="1"/>
  <c r="AA142" i="2"/>
  <c r="AN142" i="2" s="1"/>
  <c r="AA143" i="2"/>
  <c r="AN143" i="2" s="1"/>
  <c r="AA144" i="2"/>
  <c r="AN144" i="2" s="1"/>
  <c r="AA148" i="2"/>
  <c r="AN148" i="2" s="1"/>
  <c r="AA149" i="2"/>
  <c r="AN149" i="2" s="1"/>
  <c r="AA150" i="2"/>
  <c r="AA152" i="2"/>
  <c r="AN152" i="2" s="1"/>
  <c r="AA153" i="2"/>
  <c r="AN153" i="2" s="1"/>
  <c r="AA83" i="2"/>
  <c r="AB83" i="2" s="1"/>
  <c r="AA151" i="2"/>
  <c r="V155" i="2"/>
  <c r="AF102" i="2"/>
  <c r="X83" i="2"/>
  <c r="AF83" i="2" s="1"/>
  <c r="X153" i="2"/>
  <c r="AF153" i="2" s="1"/>
  <c r="X152" i="2"/>
  <c r="AF152" i="2" s="1"/>
  <c r="X150" i="2"/>
  <c r="AF149" i="2"/>
  <c r="X148" i="2"/>
  <c r="AF148" i="2" s="1"/>
  <c r="X145" i="2"/>
  <c r="AF145" i="2" s="1"/>
  <c r="X144" i="2"/>
  <c r="AF144" i="2" s="1"/>
  <c r="X143" i="2"/>
  <c r="AF143" i="2" s="1"/>
  <c r="X142" i="2"/>
  <c r="AF142" i="2" s="1"/>
  <c r="X141" i="2"/>
  <c r="AF141" i="2" s="1"/>
  <c r="X140" i="2"/>
  <c r="X139" i="2"/>
  <c r="AF139" i="2" s="1"/>
  <c r="X138" i="2"/>
  <c r="AF138" i="2" s="1"/>
  <c r="X136" i="2"/>
  <c r="AF136" i="2" s="1"/>
  <c r="X135" i="2"/>
  <c r="AF135" i="2" s="1"/>
  <c r="X134" i="2"/>
  <c r="X133" i="2"/>
  <c r="AF133" i="2" s="1"/>
  <c r="X132" i="2"/>
  <c r="AF132" i="2" s="1"/>
  <c r="X131" i="2"/>
  <c r="AF131" i="2" s="1"/>
  <c r="X130" i="2"/>
  <c r="AF130" i="2" s="1"/>
  <c r="X129" i="2"/>
  <c r="AF129" i="2" s="1"/>
  <c r="X128" i="2"/>
  <c r="AF128" i="2" s="1"/>
  <c r="X127" i="2"/>
  <c r="AF127" i="2" s="1"/>
  <c r="X126" i="2"/>
  <c r="AF126" i="2" s="1"/>
  <c r="X125" i="2"/>
  <c r="AF125" i="2" s="1"/>
  <c r="X123" i="2"/>
  <c r="AF123" i="2" s="1"/>
  <c r="X122" i="2"/>
  <c r="AF122" i="2" s="1"/>
  <c r="X121" i="2"/>
  <c r="AF121" i="2" s="1"/>
  <c r="X120" i="2"/>
  <c r="AF120" i="2" s="1"/>
  <c r="X119" i="2"/>
  <c r="AF119" i="2" s="1"/>
  <c r="X118" i="2"/>
  <c r="AF118" i="2" s="1"/>
  <c r="X117" i="2"/>
  <c r="AF117" i="2" s="1"/>
  <c r="X116" i="2"/>
  <c r="AF116" i="2" s="1"/>
  <c r="X115" i="2"/>
  <c r="AF115" i="2" s="1"/>
  <c r="X114" i="2"/>
  <c r="AF114" i="2" s="1"/>
  <c r="X113" i="2"/>
  <c r="AF113" i="2" s="1"/>
  <c r="X112" i="2"/>
  <c r="AF112" i="2" s="1"/>
  <c r="X111" i="2"/>
  <c r="AF111" i="2" s="1"/>
  <c r="X110" i="2"/>
  <c r="AF110" i="2" s="1"/>
  <c r="X109" i="2"/>
  <c r="AF109" i="2" s="1"/>
  <c r="X108" i="2"/>
  <c r="AF108" i="2" s="1"/>
  <c r="X107" i="2"/>
  <c r="AF107" i="2" s="1"/>
  <c r="X106" i="2"/>
  <c r="AF106" i="2" s="1"/>
  <c r="X105" i="2"/>
  <c r="AF105" i="2" s="1"/>
  <c r="X104" i="2"/>
  <c r="AF104" i="2" s="1"/>
  <c r="X101" i="2"/>
  <c r="AF101" i="2" s="1"/>
  <c r="X100" i="2"/>
  <c r="AF100" i="2" s="1"/>
  <c r="X99" i="2"/>
  <c r="AF99" i="2" s="1"/>
  <c r="X98" i="2"/>
  <c r="AF98" i="2" s="1"/>
  <c r="X96" i="2"/>
  <c r="AF96" i="2" s="1"/>
  <c r="X95" i="2"/>
  <c r="AF95" i="2" s="1"/>
  <c r="AF94" i="2"/>
  <c r="X56" i="2"/>
  <c r="AF56" i="2" s="1"/>
  <c r="X55" i="2"/>
  <c r="AF55" i="2" s="1"/>
  <c r="X52" i="2"/>
  <c r="AF52" i="2" s="1"/>
  <c r="X88" i="2"/>
  <c r="AF88" i="2" s="1"/>
  <c r="X82" i="2"/>
  <c r="AF82" i="2" s="1"/>
  <c r="X54" i="2"/>
  <c r="AF54" i="2" s="1"/>
  <c r="X64" i="2"/>
  <c r="AF64" i="2" s="1"/>
  <c r="X76" i="2"/>
  <c r="AF76" i="2" s="1"/>
  <c r="X61" i="2"/>
  <c r="AF61" i="2" s="1"/>
  <c r="X71" i="2"/>
  <c r="AF71" i="2" s="1"/>
  <c r="AF65" i="2"/>
  <c r="X93" i="2"/>
  <c r="AF93" i="2" s="1"/>
  <c r="X92" i="2"/>
  <c r="AF92" i="2" s="1"/>
  <c r="X91" i="2"/>
  <c r="AF91" i="2" s="1"/>
  <c r="X90" i="2"/>
  <c r="AF90" i="2" s="1"/>
  <c r="X87" i="2"/>
  <c r="AF87" i="2" s="1"/>
  <c r="X85" i="2"/>
  <c r="AF85" i="2" s="1"/>
  <c r="X73" i="2"/>
  <c r="AF73" i="2" s="1"/>
  <c r="X53" i="2"/>
  <c r="X72" i="2"/>
  <c r="AF72" i="2" s="1"/>
  <c r="X74" i="2"/>
  <c r="AF74" i="2" s="1"/>
  <c r="X51" i="2"/>
  <c r="AF51" i="2" s="1"/>
  <c r="X49" i="2"/>
  <c r="AF49" i="2" s="1"/>
  <c r="X86" i="2"/>
  <c r="AF86" i="2" s="1"/>
  <c r="X50" i="2"/>
  <c r="AF50" i="2" s="1"/>
  <c r="X81" i="2"/>
  <c r="AF81" i="2" s="1"/>
  <c r="X80" i="2"/>
  <c r="AF80" i="2" s="1"/>
  <c r="X77" i="2"/>
  <c r="AF77" i="2" s="1"/>
  <c r="X84" i="2"/>
  <c r="AF84" i="2" s="1"/>
  <c r="X79" i="2"/>
  <c r="AF79" i="2" s="1"/>
  <c r="X78" i="2"/>
  <c r="AF78" i="2" s="1"/>
  <c r="X89" i="2"/>
  <c r="AF89" i="2" s="1"/>
  <c r="X60" i="2"/>
  <c r="AF60" i="2" s="1"/>
  <c r="X59" i="2"/>
  <c r="AF59" i="2" s="1"/>
  <c r="X57" i="2"/>
  <c r="AF57" i="2" s="1"/>
  <c r="X58" i="2"/>
  <c r="AF58" i="2" s="1"/>
  <c r="AF63" i="2"/>
  <c r="X67" i="2"/>
  <c r="AF67" i="2" s="1"/>
  <c r="X62" i="2"/>
  <c r="AF62" i="2" s="1"/>
  <c r="X75" i="2"/>
  <c r="AF75" i="2" s="1"/>
  <c r="X66" i="2"/>
  <c r="AF66" i="2" s="1"/>
  <c r="X70" i="2"/>
  <c r="AF70" i="2" s="1"/>
  <c r="X69" i="2"/>
  <c r="AF69" i="2" s="1"/>
  <c r="X68" i="2"/>
  <c r="AF68" i="2" s="1"/>
  <c r="X48" i="2"/>
  <c r="AF48" i="2" s="1"/>
  <c r="X46" i="2"/>
  <c r="AF46" i="2" s="1"/>
  <c r="X45" i="2"/>
  <c r="AF45" i="2" s="1"/>
  <c r="X44" i="2"/>
  <c r="AF44" i="2" s="1"/>
  <c r="X42" i="2"/>
  <c r="AF42" i="2" s="1"/>
  <c r="X41" i="2"/>
  <c r="AF41" i="2" s="1"/>
  <c r="X39" i="2"/>
  <c r="AF39" i="2" s="1"/>
  <c r="X38" i="2"/>
  <c r="AF38" i="2" s="1"/>
  <c r="X36" i="2"/>
  <c r="AF36" i="2" s="1"/>
  <c r="X35" i="2"/>
  <c r="AF35" i="2" s="1"/>
  <c r="AF34" i="2"/>
  <c r="X33" i="2"/>
  <c r="AF33" i="2" s="1"/>
  <c r="X32" i="2"/>
  <c r="X30" i="2"/>
  <c r="X29" i="2"/>
  <c r="X28" i="2"/>
  <c r="X27" i="2"/>
  <c r="X26" i="2"/>
  <c r="X24" i="2"/>
  <c r="X23" i="2"/>
  <c r="X22" i="2"/>
  <c r="X21" i="2"/>
  <c r="X20" i="2"/>
  <c r="AA20" i="2" s="1"/>
  <c r="AN20" i="2" s="1"/>
  <c r="X19" i="2"/>
  <c r="X18" i="2"/>
  <c r="X17" i="2"/>
  <c r="AF17" i="2" s="1"/>
  <c r="X16" i="2"/>
  <c r="X15" i="2"/>
  <c r="X14" i="2"/>
  <c r="X13" i="2"/>
  <c r="X12" i="2"/>
  <c r="AF12" i="2" s="1"/>
  <c r="X11" i="2"/>
  <c r="AA11" i="2" s="1"/>
  <c r="AN11" i="2" s="1"/>
  <c r="X10" i="2"/>
  <c r="AA10" i="2" s="1"/>
  <c r="AN10" i="2" s="1"/>
  <c r="X9" i="2"/>
  <c r="X8" i="2"/>
  <c r="X7" i="2"/>
  <c r="X6" i="2"/>
  <c r="X47" i="2" l="1"/>
  <c r="AF47" i="2" s="1"/>
  <c r="AB47" i="2"/>
  <c r="AN74" i="2"/>
  <c r="AB74" i="2"/>
  <c r="AN151" i="2"/>
  <c r="AB151" i="2"/>
  <c r="AN47" i="2"/>
  <c r="AN84" i="2"/>
  <c r="AN83" i="2"/>
  <c r="AA17" i="2"/>
  <c r="AN17" i="2" s="1"/>
  <c r="AF19" i="2"/>
  <c r="AA19" i="2"/>
  <c r="AN19" i="2" s="1"/>
  <c r="AF27" i="2"/>
  <c r="AA27" i="2"/>
  <c r="AN27" i="2" s="1"/>
  <c r="AF13" i="2"/>
  <c r="AN13" i="2"/>
  <c r="AF14" i="2"/>
  <c r="AA14" i="2"/>
  <c r="AN14" i="2" s="1"/>
  <c r="AF22" i="2"/>
  <c r="AA22" i="2"/>
  <c r="AN22" i="2" s="1"/>
  <c r="AF30" i="2"/>
  <c r="AA30" i="2"/>
  <c r="AN30" i="2" s="1"/>
  <c r="AA28" i="2"/>
  <c r="AN28" i="2" s="1"/>
  <c r="AF21" i="2"/>
  <c r="AA21" i="2"/>
  <c r="AN21" i="2" s="1"/>
  <c r="AF15" i="2"/>
  <c r="AA15" i="2"/>
  <c r="AN15" i="2" s="1"/>
  <c r="AF23" i="2"/>
  <c r="AA23" i="2"/>
  <c r="AN23" i="2" s="1"/>
  <c r="AF32" i="2"/>
  <c r="AA32" i="2"/>
  <c r="AN32" i="2" s="1"/>
  <c r="AA12" i="2"/>
  <c r="AN12" i="2" s="1"/>
  <c r="AF29" i="2"/>
  <c r="AA29" i="2"/>
  <c r="AN29" i="2" s="1"/>
  <c r="AF16" i="2"/>
  <c r="AA16" i="2"/>
  <c r="AN16" i="2" s="1"/>
  <c r="AF24" i="2"/>
  <c r="AA24" i="2"/>
  <c r="AN24" i="2" s="1"/>
  <c r="AF9" i="2"/>
  <c r="AF25" i="2"/>
  <c r="AA25" i="2"/>
  <c r="AN25" i="2" s="1"/>
  <c r="AF18" i="2"/>
  <c r="AA18" i="2"/>
  <c r="AN18" i="2" s="1"/>
  <c r="AF26" i="2"/>
  <c r="AA26" i="2"/>
  <c r="AN26" i="2" s="1"/>
  <c r="AB3" i="2"/>
  <c r="W155" i="2"/>
  <c r="X43" i="2"/>
  <c r="AF43" i="2" s="1"/>
  <c r="Y155" i="2" l="1"/>
  <c r="AA9" i="2"/>
  <c r="AN9" i="2" s="1"/>
  <c r="AD8" i="2"/>
  <c r="AN8" i="2" s="1"/>
  <c r="AD7" i="2"/>
  <c r="AD6" i="2"/>
  <c r="AE6" i="2" l="1"/>
  <c r="AN6" i="2"/>
  <c r="AE7" i="2"/>
  <c r="AN7" i="2"/>
  <c r="AF7" i="2"/>
  <c r="AF8" i="2"/>
  <c r="AE8" i="2"/>
  <c r="AF6" i="2"/>
  <c r="O53" i="2"/>
  <c r="AE53" i="2" s="1"/>
  <c r="AF53" i="2" l="1"/>
  <c r="G151" i="2"/>
  <c r="AD150" i="2"/>
  <c r="AN150" i="2" s="1"/>
  <c r="AD140" i="2"/>
  <c r="AN140" i="2" s="1"/>
  <c r="AF150" i="2" l="1"/>
  <c r="AE150" i="2"/>
  <c r="AF140" i="2"/>
  <c r="AE140" i="2"/>
  <c r="AD155" i="2"/>
  <c r="AF134" i="2"/>
  <c r="AE155" i="2" l="1"/>
  <c r="O155" i="2"/>
  <c r="G62" i="2"/>
  <c r="X97" i="2" l="1"/>
  <c r="AF97" i="2" s="1"/>
  <c r="AB67" i="2"/>
  <c r="AB105" i="2"/>
  <c r="AB107" i="2"/>
  <c r="AB153" i="2"/>
  <c r="AB112" i="2"/>
  <c r="AB102" i="2"/>
  <c r="AB103" i="2"/>
  <c r="AB106" i="2"/>
  <c r="AB111" i="2"/>
  <c r="AB114" i="2"/>
  <c r="AB115" i="2"/>
  <c r="AB118" i="2"/>
  <c r="AB119" i="2"/>
  <c r="AB129" i="2"/>
  <c r="AB120" i="2"/>
  <c r="AB122" i="2"/>
  <c r="AB127" i="2"/>
  <c r="AB128" i="2"/>
  <c r="AB130" i="2"/>
  <c r="AB133" i="2"/>
  <c r="AB134" i="2"/>
  <c r="AB143" i="2"/>
  <c r="AB138" i="2"/>
  <c r="AB141" i="2"/>
  <c r="AB142" i="2"/>
  <c r="AB145" i="2"/>
  <c r="AB148" i="2"/>
  <c r="AB149" i="2"/>
  <c r="AB152" i="2"/>
  <c r="H69" i="2" l="1"/>
  <c r="H66" i="2"/>
  <c r="H68" i="2"/>
  <c r="G4" i="2" l="1"/>
  <c r="G5" i="2"/>
  <c r="G6" i="2"/>
  <c r="G7" i="2"/>
  <c r="G8" i="2"/>
  <c r="G9" i="2"/>
  <c r="G10" i="2"/>
  <c r="G11" i="2"/>
  <c r="G12" i="2"/>
  <c r="G13" i="2"/>
  <c r="G14" i="2"/>
  <c r="G15" i="2"/>
  <c r="G16" i="2"/>
  <c r="H16" i="2" s="1"/>
  <c r="G17" i="2"/>
  <c r="G18" i="2"/>
  <c r="G19" i="2"/>
  <c r="G20" i="2"/>
  <c r="G21" i="2"/>
  <c r="G22" i="2"/>
  <c r="G23" i="2"/>
  <c r="G24" i="2"/>
  <c r="G25" i="2"/>
  <c r="G26" i="2"/>
  <c r="G27" i="2"/>
  <c r="G28" i="2"/>
  <c r="G29" i="2"/>
  <c r="G30" i="2"/>
  <c r="H30" i="2" s="1"/>
  <c r="G32" i="2"/>
  <c r="H32" i="2" s="1"/>
  <c r="G33" i="2"/>
  <c r="G34" i="2"/>
  <c r="G35" i="2"/>
  <c r="G36" i="2"/>
  <c r="G37" i="2"/>
  <c r="G38" i="2"/>
  <c r="G39" i="2"/>
  <c r="G40" i="2"/>
  <c r="G41" i="2"/>
  <c r="G42" i="2"/>
  <c r="G43" i="2"/>
  <c r="G44" i="2"/>
  <c r="G45" i="2"/>
  <c r="G46" i="2"/>
  <c r="G47" i="2"/>
  <c r="G48" i="2"/>
  <c r="G68" i="2"/>
  <c r="G69" i="2"/>
  <c r="G70" i="2"/>
  <c r="G66" i="2"/>
  <c r="G75" i="2"/>
  <c r="G67" i="2"/>
  <c r="G58" i="2"/>
  <c r="G57" i="2"/>
  <c r="G63" i="2"/>
  <c r="G59" i="2"/>
  <c r="G60" i="2"/>
  <c r="G89" i="2"/>
  <c r="G78" i="2"/>
  <c r="G79" i="2"/>
  <c r="G84" i="2"/>
  <c r="G77" i="2"/>
  <c r="G80" i="2"/>
  <c r="G81" i="2"/>
  <c r="G50" i="2"/>
  <c r="G86" i="2"/>
  <c r="G49" i="2"/>
  <c r="G51" i="2"/>
  <c r="G74" i="2"/>
  <c r="G72" i="2"/>
  <c r="G53" i="2"/>
  <c r="G73" i="2"/>
  <c r="G85" i="2"/>
  <c r="G87" i="2"/>
  <c r="G90" i="2"/>
  <c r="G91" i="2"/>
  <c r="G92" i="2"/>
  <c r="G93" i="2"/>
  <c r="G64" i="2"/>
  <c r="G71" i="2"/>
  <c r="G61" i="2"/>
  <c r="G76" i="2"/>
  <c r="G65" i="2"/>
  <c r="G54" i="2"/>
  <c r="G82" i="2"/>
  <c r="G88" i="2"/>
  <c r="G52" i="2"/>
  <c r="G55" i="2"/>
  <c r="G56" i="2"/>
  <c r="G94" i="2"/>
  <c r="G95" i="2"/>
  <c r="H95" i="2" s="1"/>
  <c r="G96" i="2"/>
  <c r="G97" i="2"/>
  <c r="G98" i="2"/>
  <c r="G99" i="2"/>
  <c r="G100" i="2"/>
  <c r="G101" i="2"/>
  <c r="G108" i="2"/>
  <c r="G109" i="2"/>
  <c r="G110" i="2"/>
  <c r="G113" i="2"/>
  <c r="G116" i="2"/>
  <c r="G117" i="2"/>
  <c r="G121" i="2"/>
  <c r="G123" i="2"/>
  <c r="G125" i="2"/>
  <c r="G126" i="2"/>
  <c r="G131" i="2"/>
  <c r="G132" i="2"/>
  <c r="G135" i="2"/>
  <c r="H135" i="2" s="1"/>
  <c r="G136" i="2"/>
  <c r="G137" i="2"/>
  <c r="G139" i="2"/>
  <c r="G140" i="2"/>
  <c r="G144" i="2"/>
  <c r="G150" i="2"/>
  <c r="G104" i="2"/>
  <c r="G105" i="2"/>
  <c r="G107" i="2"/>
  <c r="G153" i="2"/>
  <c r="G112" i="2"/>
  <c r="G103" i="2"/>
  <c r="G106" i="2"/>
  <c r="G111" i="2"/>
  <c r="G114" i="2"/>
  <c r="G115" i="2"/>
  <c r="G118" i="2"/>
  <c r="G119" i="2"/>
  <c r="G129" i="2"/>
  <c r="G120" i="2"/>
  <c r="G122" i="2"/>
  <c r="G127" i="2"/>
  <c r="G128" i="2"/>
  <c r="G130" i="2"/>
  <c r="G133" i="2"/>
  <c r="G134" i="2"/>
  <c r="G143" i="2"/>
  <c r="G138" i="2"/>
  <c r="G141" i="2"/>
  <c r="G142" i="2"/>
  <c r="G145" i="2"/>
  <c r="G148" i="2"/>
  <c r="G149" i="2"/>
  <c r="G152" i="2"/>
  <c r="AB95" i="2" l="1"/>
  <c r="AB96" i="2"/>
  <c r="AB94" i="2"/>
  <c r="AB12" i="2" l="1"/>
  <c r="AB10" i="2"/>
  <c r="AB9" i="2"/>
  <c r="AB11" i="2"/>
  <c r="AB13" i="2"/>
  <c r="AB14" i="2"/>
  <c r="AB15" i="2"/>
  <c r="AB16" i="2"/>
  <c r="AB17" i="2"/>
  <c r="AB18" i="2"/>
  <c r="AB19" i="2"/>
  <c r="AB20" i="2"/>
  <c r="AB21" i="2"/>
  <c r="AB22" i="2"/>
  <c r="AB23" i="2"/>
  <c r="AB24" i="2"/>
  <c r="AB25" i="2"/>
  <c r="AB26" i="2"/>
  <c r="AB27" i="2"/>
  <c r="AB28" i="2"/>
  <c r="AB29" i="2"/>
  <c r="AB30" i="2"/>
  <c r="AB32" i="2"/>
  <c r="AB101" i="2"/>
  <c r="AB108" i="2"/>
  <c r="H6" i="2" l="1"/>
  <c r="AB5" i="2" l="1"/>
  <c r="AB131" i="2"/>
  <c r="AB135" i="2"/>
  <c r="AB109" i="2"/>
  <c r="AB110" i="2"/>
  <c r="AB113" i="2"/>
  <c r="AB116" i="2"/>
  <c r="AB117" i="2"/>
  <c r="AB121" i="2"/>
  <c r="AB123" i="2"/>
  <c r="AB125" i="2"/>
  <c r="AB126" i="2"/>
  <c r="AB132" i="2"/>
  <c r="AB136" i="2"/>
  <c r="AB137" i="2"/>
  <c r="AB139" i="2"/>
  <c r="AB140" i="2"/>
  <c r="AB144" i="2"/>
  <c r="AB150" i="2"/>
  <c r="AB104" i="2"/>
  <c r="AB97" i="2"/>
  <c r="AB98" i="2"/>
  <c r="AB99" i="2"/>
  <c r="AB100" i="2"/>
  <c r="AB68" i="2"/>
  <c r="AB69" i="2"/>
  <c r="AB66" i="2"/>
  <c r="AB75" i="2"/>
  <c r="AB62" i="2"/>
  <c r="AB58" i="2"/>
  <c r="AB57" i="2"/>
  <c r="AB63" i="2"/>
  <c r="AB59" i="2"/>
  <c r="AB60" i="2"/>
  <c r="AB89" i="2"/>
  <c r="AB78" i="2"/>
  <c r="AB79" i="2"/>
  <c r="AB77" i="2"/>
  <c r="AB80" i="2"/>
  <c r="AB81" i="2"/>
  <c r="AB50" i="2"/>
  <c r="AB86" i="2"/>
  <c r="AB49" i="2"/>
  <c r="AB72" i="2"/>
  <c r="AB73" i="2"/>
  <c r="AB85" i="2"/>
  <c r="AB87" i="2"/>
  <c r="AB90" i="2"/>
  <c r="AB91" i="2"/>
  <c r="AB92" i="2"/>
  <c r="AB93" i="2"/>
  <c r="AB64" i="2"/>
  <c r="AB61" i="2"/>
  <c r="AB65" i="2"/>
  <c r="AB54" i="2"/>
  <c r="AB82" i="2"/>
  <c r="AB88" i="2"/>
  <c r="AB52" i="2"/>
  <c r="AB55" i="2"/>
  <c r="AB56" i="2"/>
  <c r="AB33" i="2"/>
  <c r="AB36" i="2"/>
  <c r="AB48" i="2"/>
  <c r="H75" i="2"/>
  <c r="H102" i="2" l="1"/>
  <c r="H83" i="2"/>
  <c r="H79" i="2"/>
  <c r="AB51" i="2"/>
  <c r="AB53" i="2"/>
  <c r="H151" i="2"/>
  <c r="AB71" i="2"/>
  <c r="H62" i="2"/>
  <c r="AB70" i="2"/>
  <c r="AB7" i="2"/>
  <c r="AB8" i="2"/>
  <c r="AB6" i="2"/>
  <c r="H67" i="2"/>
  <c r="H70" i="2"/>
  <c r="H9" i="2"/>
  <c r="H17" i="2"/>
  <c r="H25" i="2"/>
  <c r="H10" i="2"/>
  <c r="H18" i="2"/>
  <c r="H26" i="2"/>
  <c r="H11" i="2"/>
  <c r="H19" i="2"/>
  <c r="H12" i="2"/>
  <c r="H20" i="2"/>
  <c r="H13" i="2"/>
  <c r="H21" i="2"/>
  <c r="H24" i="2"/>
  <c r="H14" i="2"/>
  <c r="H22" i="2"/>
  <c r="H15" i="2"/>
  <c r="H23" i="2"/>
  <c r="H4" i="2"/>
  <c r="H28" i="2"/>
  <c r="H113" i="2"/>
  <c r="H132" i="2"/>
  <c r="H104" i="2"/>
  <c r="H111" i="2"/>
  <c r="H127" i="2"/>
  <c r="H142" i="2"/>
  <c r="H97" i="2"/>
  <c r="H59" i="2"/>
  <c r="H81" i="2"/>
  <c r="H73" i="2"/>
  <c r="H71" i="2"/>
  <c r="H88" i="2"/>
  <c r="H37" i="2"/>
  <c r="H45" i="2"/>
  <c r="H117" i="2"/>
  <c r="H136" i="2"/>
  <c r="H107" i="2"/>
  <c r="H115" i="2"/>
  <c r="H130" i="2"/>
  <c r="H148" i="2"/>
  <c r="H89" i="2"/>
  <c r="H86" i="2"/>
  <c r="H87" i="2"/>
  <c r="H76" i="2"/>
  <c r="H55" i="2"/>
  <c r="H39" i="2"/>
  <c r="H47" i="2"/>
  <c r="H101" i="2"/>
  <c r="H108" i="2"/>
  <c r="H125" i="2"/>
  <c r="H140" i="2"/>
  <c r="H129" i="2"/>
  <c r="H143" i="2"/>
  <c r="H94" i="2"/>
  <c r="H100" i="2"/>
  <c r="H58" i="2"/>
  <c r="H84" i="2"/>
  <c r="H74" i="2"/>
  <c r="H92" i="2"/>
  <c r="H34" i="2"/>
  <c r="H42" i="2"/>
  <c r="H27" i="2"/>
  <c r="H131" i="2"/>
  <c r="H112" i="2"/>
  <c r="H128" i="2"/>
  <c r="H80" i="2"/>
  <c r="H91" i="2"/>
  <c r="H52" i="2"/>
  <c r="H43" i="2"/>
  <c r="H29" i="2"/>
  <c r="H103" i="2"/>
  <c r="H133" i="2"/>
  <c r="H96" i="2"/>
  <c r="H50" i="2"/>
  <c r="H93" i="2"/>
  <c r="H56" i="2"/>
  <c r="H44" i="2"/>
  <c r="H109" i="2"/>
  <c r="H137" i="2"/>
  <c r="H106" i="2"/>
  <c r="H134" i="2"/>
  <c r="H98" i="2"/>
  <c r="H57" i="2"/>
  <c r="H49" i="2"/>
  <c r="H64" i="2"/>
  <c r="H33" i="2"/>
  <c r="H46" i="2"/>
  <c r="H110" i="2"/>
  <c r="H139" i="2"/>
  <c r="H114" i="2"/>
  <c r="H138" i="2"/>
  <c r="H99" i="2"/>
  <c r="H63" i="2"/>
  <c r="H51" i="2"/>
  <c r="H61" i="2"/>
  <c r="H35" i="2"/>
  <c r="H48" i="2"/>
  <c r="H116" i="2"/>
  <c r="H144" i="2"/>
  <c r="H118" i="2"/>
  <c r="H141" i="2"/>
  <c r="H60" i="2"/>
  <c r="H72" i="2"/>
  <c r="H65" i="2"/>
  <c r="H36" i="2"/>
  <c r="H121" i="2"/>
  <c r="H150" i="2"/>
  <c r="H119" i="2"/>
  <c r="H145" i="2"/>
  <c r="H78" i="2"/>
  <c r="H53" i="2"/>
  <c r="H54" i="2"/>
  <c r="H38" i="2"/>
  <c r="H123" i="2"/>
  <c r="H105" i="2"/>
  <c r="H120" i="2"/>
  <c r="H149" i="2"/>
  <c r="H85" i="2"/>
  <c r="H82" i="2"/>
  <c r="H40" i="2"/>
  <c r="H122" i="2"/>
  <c r="H152" i="2"/>
  <c r="H77" i="2"/>
  <c r="H41" i="2"/>
  <c r="H153" i="2"/>
  <c r="H90" i="2"/>
  <c r="H126" i="2"/>
  <c r="H5" i="2"/>
  <c r="H7" i="2"/>
  <c r="H8" i="2"/>
  <c r="H155" i="2" l="1"/>
  <c r="AA4" i="2"/>
  <c r="X37" i="2"/>
  <c r="AF37" i="2" s="1"/>
  <c r="AA155" i="2" l="1"/>
  <c r="AB155" i="2" s="1"/>
  <c r="AN4" i="2"/>
  <c r="AN155" i="2" s="1"/>
  <c r="AB4" i="2"/>
  <c r="AB37" i="2"/>
  <c r="X40" i="2"/>
  <c r="AF40" i="2" s="1"/>
  <c r="AF155" i="2" l="1"/>
  <c r="X1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Sophia Allec</author>
    <author>tc={37BE7CCA-E6C7-40BA-AE1B-AF8E53205A9C}</author>
    <author>tc={D1C1E6D7-609A-4570-9FFC-1E5F95DA6A8C}</author>
    <author>tc={9FF7749B-EC37-4A4B-A3AC-A3F7367441A7}</author>
    <author>tc={2D8816CC-793A-45BF-9229-A00EF7976835}</author>
    <author>tc={30A05FF9-F2EF-49F9-B190-D8E0D77D7493}</author>
    <author>tc={40CE3064-D6F4-4669-9ADC-99F9AC41DE15}</author>
    <author>tc={5D213868-0F08-433F-9239-F79CE402A8DB}</author>
    <author>tc={505E4241-E69D-49DA-A53C-6A3396E68B7F}</author>
    <author>tc={E45C1079-783F-48B9-9E08-BF844F0AF8FC}</author>
    <author>tc={7D33CBE7-7F2E-415D-9C63-76FE2D5C4919}</author>
    <author>tc={6E78CFAC-87D5-4469-BADE-BB2A86BB9928}</author>
    <author>tc={4A2BDA52-3795-4DC2-A6E8-FD73C88424B2}</author>
    <author>tc={116C981D-6B87-4606-98D1-FA3937EA0DD2}</author>
  </authors>
  <commentList>
    <comment ref="M2" authorId="0" shapeId="0" xr:uid="{ED545A62-380D-4007-9919-7541F551D06F}">
      <text>
        <r>
          <rPr>
            <b/>
            <sz val="9"/>
            <color indexed="81"/>
            <rFont val="Tahoma"/>
            <family val="2"/>
          </rPr>
          <t>Sophia Allec:</t>
        </r>
        <r>
          <rPr>
            <sz val="9"/>
            <color indexed="81"/>
            <rFont val="Tahoma"/>
            <family val="2"/>
          </rPr>
          <t xml:space="preserve">
Either original NOA amount or revised NOA amount.</t>
        </r>
      </text>
    </comment>
    <comment ref="AC3" authorId="1" shapeId="0" xr:uid="{37BE7CCA-E6C7-40BA-AE1B-AF8E53205A9C}">
      <text>
        <t>[Threaded comment]
Your version of Excel allows you to read this threaded comment; however, any edits to it will get removed if the file is opened in a newer version of Excel. Learn more: https://go.microsoft.com/fwlink/?linkid=870924
Comment:
    Work Program #24FRF31951 was submitted in SFY24 to de-obligate $620,664 in authority due to $620,663.74 in Prior Year Expenditures (SFY23)</t>
      </text>
    </comment>
    <comment ref="J4" authorId="0" shapeId="0" xr:uid="{CB92161D-2216-4FD9-A2C5-881168EAEB31}">
      <text>
        <r>
          <rPr>
            <b/>
            <sz val="9"/>
            <color indexed="81"/>
            <rFont val="Tahoma"/>
            <family val="2"/>
          </rPr>
          <t>Sophia Allec:</t>
        </r>
        <r>
          <rPr>
            <sz val="9"/>
            <color indexed="81"/>
            <rFont val="Tahoma"/>
            <family val="2"/>
          </rPr>
          <t xml:space="preserve">
One change request submitted to realign award amount between expenditure categories for a net zero change. </t>
        </r>
      </text>
    </comment>
    <comment ref="AC4" authorId="2" shapeId="0" xr:uid="{D1C1E6D7-609A-4570-9FFC-1E5F95DA6A8C}">
      <text>
        <t>[Threaded comment]
Your version of Excel allows you to read this threaded comment; however, any edits to it will get removed if the file is opened in a newer version of Excel. Learn more: https://go.microsoft.com/fwlink/?linkid=870924
Comment:
    SFY24 L01 budget only includes $324,450 in authority</t>
      </text>
    </comment>
    <comment ref="J5" authorId="0" shapeId="0" xr:uid="{077CB6AE-3300-492F-A3A0-36D31F2243E1}">
      <text>
        <r>
          <rPr>
            <b/>
            <sz val="9"/>
            <color indexed="81"/>
            <rFont val="Tahoma"/>
            <family val="2"/>
          </rPr>
          <t>Sophia Allec:</t>
        </r>
        <r>
          <rPr>
            <sz val="9"/>
            <color indexed="81"/>
            <rFont val="Tahoma"/>
            <family val="2"/>
          </rPr>
          <t xml:space="preserve">
Amended to correct the project dates only.</t>
        </r>
      </text>
    </comment>
    <comment ref="AC7" authorId="3" shapeId="0" xr:uid="{9FF7749B-EC37-4A4B-A3AC-A3F7367441A7}">
      <text>
        <t>[Threaded comment]
Your version of Excel allows you to read this threaded comment; however, any edits to it will get removed if the file is opened in a newer version of Excel. Learn more: https://go.microsoft.com/fwlink/?linkid=870924
Comment:
    GFO approved de-obligation of $420.30 on 9/20/23 for SFY23</t>
      </text>
    </comment>
    <comment ref="AC8" authorId="4" shapeId="0" xr:uid="{2D8816CC-793A-45BF-9229-A00EF7976835}">
      <text>
        <t>[Threaded comment]
Your version of Excel allows you to read this threaded comment; however, any edits to it will get removed if the file is opened in a newer version of Excel. Learn more: https://go.microsoft.com/fwlink/?linkid=870924
Comment:
    GFO Approved De-obligation of $529 9/30/23 for SFY23</t>
      </text>
    </comment>
    <comment ref="B62" authorId="0" shapeId="0" xr:uid="{F2BF7715-B72B-433C-BCAD-8791542CFC31}">
      <text>
        <r>
          <rPr>
            <sz val="11"/>
            <color theme="1"/>
            <rFont val="Calibri"/>
            <family val="2"/>
            <scheme val="minor"/>
          </rPr>
          <t>Sophia Allec:
Can program please verify this? In September the report said the subgrant did not move forward, in Jan 2024, the subgrant tab stated the work was never started, but the agency project tab shows this amount fully spent down.  Was this project spent down or was it deobligated?
Sophia, this was Fully De-Obligated</t>
        </r>
      </text>
    </comment>
    <comment ref="F76" authorId="5" shapeId="0" xr:uid="{30A05FF9-F2EF-49F9-B190-D8E0D77D7493}">
      <text>
        <t>[Threaded comment]
Your version of Excel allows you to read this threaded comment; however, any edits to it will get removed if the file is opened in a newer version of Excel. Learn more: https://go.microsoft.com/fwlink/?linkid=870924
Comment:
    GFO extended to 10/31/2026</t>
      </text>
    </comment>
    <comment ref="W91" authorId="6" shapeId="0" xr:uid="{40CE3064-D6F4-4669-9ADC-99F9AC41DE15}">
      <text>
        <t>[Threaded comment]
Your version of Excel allows you to read this threaded comment; however, any edits to it will get removed if the file is opened in a newer version of Excel. Learn more: https://go.microsoft.com/fwlink/?linkid=870924
Comment:
    SG26070 executed 11/02/2023</t>
      </text>
    </comment>
    <comment ref="AC104" authorId="7" shapeId="0" xr:uid="{5D213868-0F08-433F-9239-F79CE402A8DB}">
      <text>
        <t>[Threaded comment]
Your version of Excel allows you to read this threaded comment; however, any edits to it will get removed if the file is opened in a newer version of Excel. Learn more: https://go.microsoft.com/fwlink/?linkid=870924
Comment:
    Remaining balance from SFY22 of $232,558.65 was de-obligated by GFO on 07/14/23. No work program completed.</t>
      </text>
    </comment>
    <comment ref="AC105" authorId="8" shapeId="0" xr:uid="{505E4241-E69D-49DA-A53C-6A3396E68B7F}">
      <text>
        <t>[Threaded comment]
Your version of Excel allows you to read this threaded comment; however, any edits to it will get removed if the file is opened in a newer version of Excel. Learn more: https://go.microsoft.com/fwlink/?linkid=870924
Comment:
    Remaining balance from SFY22 of $237,066.34 was de-obligated by GFO on 07/14/23. No work program completed.</t>
      </text>
    </comment>
    <comment ref="AC107" authorId="9" shapeId="0" xr:uid="{E45C1079-783F-48B9-9E08-BF844F0AF8FC}">
      <text>
        <t>[Threaded comment]
Your version of Excel allows you to read this threaded comment; however, any edits to it will get removed if the file is opened in a newer version of Excel. Learn more: https://go.microsoft.com/fwlink/?linkid=870924
Comment:
    Remaining balance of $3,101.92 was de-obligated by GFO on 7/14/23. No work program completed.</t>
      </text>
    </comment>
    <comment ref="AC133" authorId="10" shapeId="0" xr:uid="{7D33CBE7-7F2E-415D-9C63-76FE2D5C4919}">
      <text>
        <t>[Threaded comment]
Your version of Excel allows you to read this threaded comment; however, any edits to it will get removed if the file is opened in a newer version of Excel. Learn more: https://go.microsoft.com/fwlink/?linkid=870924
Comment:
    Remaining balance of $48,000 was de-obligated by GFO on 11/03/23. No work program completed.</t>
      </text>
    </comment>
    <comment ref="AC141" authorId="11" shapeId="0" xr:uid="{6E78CFAC-87D5-4469-BADE-BB2A86BB9928}">
      <text>
        <t>[Threaded comment]
Your version of Excel allows you to read this threaded comment; however, any edits to it will get removed if the file is opened in a newer version of Excel. Learn more: https://go.microsoft.com/fwlink/?linkid=870924
Comment:
    Remaining balance of $200,228 was de-obligated by GFO on 10/10/23. No work program completed.</t>
      </text>
    </comment>
    <comment ref="AC142" authorId="12" shapeId="0" xr:uid="{4A2BDA52-3795-4DC2-A6E8-FD73C88424B2}">
      <text>
        <t>[Threaded comment]
Your version of Excel allows you to read this threaded comment; however, any edits to it will get removed if the file is opened in a newer version of Excel. Learn more: https://go.microsoft.com/fwlink/?linkid=870924
Comment:
    Remaining balance of $37,462 was de-obligated by GFO on 10/10/23. No work program completed.</t>
      </text>
    </comment>
    <comment ref="AC143" authorId="13" shapeId="0" xr:uid="{116C981D-6B87-4606-98D1-FA3937EA0DD2}">
      <text>
        <t xml:space="preserve">[Threaded comment]
Your version of Excel allows you to read this threaded comment; however, any edits to it will get removed if the file is opened in a newer version of Excel. Learn more: https://go.microsoft.com/fwlink/?linkid=870924
Comment:
    De-obligation approved by GFO on 7/14/23. No work program completed. </t>
      </text>
    </comment>
  </commentList>
</comments>
</file>

<file path=xl/sharedStrings.xml><?xml version="1.0" encoding="utf-8"?>
<sst xmlns="http://schemas.openxmlformats.org/spreadsheetml/2006/main" count="2408" uniqueCount="1100">
  <si>
    <t>List</t>
  </si>
  <si>
    <t>List 2</t>
  </si>
  <si>
    <t>List 3</t>
  </si>
  <si>
    <t>List 4</t>
  </si>
  <si>
    <t>List 5</t>
  </si>
  <si>
    <t>List 6</t>
  </si>
  <si>
    <t>List 7</t>
  </si>
  <si>
    <t>List 8</t>
  </si>
  <si>
    <t>Yes</t>
  </si>
  <si>
    <t xml:space="preserve">Yes </t>
  </si>
  <si>
    <t>Subrecipient</t>
  </si>
  <si>
    <t>Not Started</t>
  </si>
  <si>
    <t>Acquisition of equipment for COVID-19 prevention and treatment</t>
  </si>
  <si>
    <t>Impact - General Public</t>
  </si>
  <si>
    <t>Urban (Clark/Washoe)</t>
  </si>
  <si>
    <t>No</t>
  </si>
  <si>
    <t>Contractor</t>
  </si>
  <si>
    <t>Completed less than 50%</t>
  </si>
  <si>
    <t>Adaptations to congregate living facilities</t>
  </si>
  <si>
    <t>Impact - Low or moderate income households or populations</t>
  </si>
  <si>
    <t>Rural</t>
  </si>
  <si>
    <t>N/A</t>
  </si>
  <si>
    <t>Completed 50% or More</t>
  </si>
  <si>
    <t>Affordable housing, supportive housing, or recovery housing</t>
  </si>
  <si>
    <t>Impact - households that experienced unemployment</t>
  </si>
  <si>
    <t>Statewide</t>
  </si>
  <si>
    <t>Completed</t>
  </si>
  <si>
    <t>Behavioral health facilities and equipment</t>
  </si>
  <si>
    <t>Impact - households that experienced increased food or housing insecurity</t>
  </si>
  <si>
    <t>Childcare, daycare and early learning facilities</t>
  </si>
  <si>
    <t>Impact - households that qualify for certain federal programs</t>
  </si>
  <si>
    <t>COVID-19 testing sites and laboratories, and acquisition of related equipment</t>
  </si>
  <si>
    <t>Impact - services to address lost instructional time in K-12 schools</t>
  </si>
  <si>
    <t>COVID-19 vaccination sites</t>
  </si>
  <si>
    <t>Impact - Other households or populations that experienced a negative economic</t>
  </si>
  <si>
    <t>Devices and equipment that assist households in accessing the internet</t>
  </si>
  <si>
    <t>Impact - small businesses that experienced a negative economic impact</t>
  </si>
  <si>
    <t>Emergeny operation centers and acquisition of emergency response equipment</t>
  </si>
  <si>
    <t>Impact - classes of small businesses designated as negatively economically impacted</t>
  </si>
  <si>
    <t>Food banks and other facilities</t>
  </si>
  <si>
    <t>Impact - nonprofits that experienced a negative economic impact specify</t>
  </si>
  <si>
    <t>Improvements to existing facilities</t>
  </si>
  <si>
    <t>Impact - classes of nonprofits designated as negatively economically impacted</t>
  </si>
  <si>
    <t>Installation and improvement of ventilation systems</t>
  </si>
  <si>
    <t>Impact - Travel tourism or hospitality sectors</t>
  </si>
  <si>
    <t>Job and workforce training centers</t>
  </si>
  <si>
    <t>Impact - industry outside the travel tourism or hospitality sectors specify</t>
  </si>
  <si>
    <t>Medical equipment and facilities</t>
  </si>
  <si>
    <t>Disproportionately Impacted  - Low income households and populations</t>
  </si>
  <si>
    <t>Medical facilities generally dedicated to COVID-19 treatment and mitigation</t>
  </si>
  <si>
    <t>Disproportionately Impacted - households and populations residing in Qualified Census Tracts</t>
  </si>
  <si>
    <t>Mitigation measures in small businesses, nonprofits and impacted industries</t>
  </si>
  <si>
    <t>Disproportionately Impacted - households that qualify for certain federal programs</t>
  </si>
  <si>
    <t>Parks, green spaces, recreational facilities, sidewalks</t>
  </si>
  <si>
    <t>Disproportionately Impacted - households receiving services provided by Tribal governments</t>
  </si>
  <si>
    <t>Public health data systems</t>
  </si>
  <si>
    <t>Disproportionately Impacted - services to address educational disparities Title I eligible</t>
  </si>
  <si>
    <t>Rehabilitations, renovation, remediation, cleanup, or conversions</t>
  </si>
  <si>
    <t>Disproportionately Impacted - Other household or populations that experienced a disproportionate impact</t>
  </si>
  <si>
    <t>Schools and other educational facilities</t>
  </si>
  <si>
    <t>Disproportionately Impacted - small businesses operating in Qualified Census Tracts</t>
  </si>
  <si>
    <t>Technology and equipment to allow law enforcement</t>
  </si>
  <si>
    <t>Disproportionately Impacted - small businesses operated by Tribal governments or on Tribal lands</t>
  </si>
  <si>
    <t>Technology and tools</t>
  </si>
  <si>
    <t>Disproportionately Impacted - Other small businesses Disproporionately Impacted by the pandemic specify</t>
  </si>
  <si>
    <t>Technology infrastructure to adapt government operations</t>
  </si>
  <si>
    <t>Disproportionately Impacted - nonprofits operating in Qualified Census Tracts</t>
  </si>
  <si>
    <t>Temporary medical facilities and other measures</t>
  </si>
  <si>
    <t>Disproportionately Impacted - nonprofits operated by Tribal governments or on Tribal lands</t>
  </si>
  <si>
    <t>Transitional shelters</t>
  </si>
  <si>
    <t>Disproportionately Impacted - Other nonprofits Disproportionately Impacted by the pandemic specify</t>
  </si>
  <si>
    <t>Other (please specify)</t>
  </si>
  <si>
    <t>None</t>
  </si>
  <si>
    <t>Columns with formulas</t>
  </si>
  <si>
    <t xml:space="preserve">                    </t>
  </si>
  <si>
    <t xml:space="preserve"> </t>
  </si>
  <si>
    <t>Agency</t>
  </si>
  <si>
    <t>Project #</t>
  </si>
  <si>
    <t>Budget Account</t>
  </si>
  <si>
    <t>Project Start Date</t>
  </si>
  <si>
    <t>Project End Date</t>
  </si>
  <si>
    <t># of Days in Project Period</t>
  </si>
  <si>
    <t>% of Project Period Passed</t>
  </si>
  <si>
    <t>Original NOA Amount</t>
  </si>
  <si>
    <t>Change Requests</t>
  </si>
  <si>
    <t>GFO/LCB Adjustments</t>
  </si>
  <si>
    <t>Total NOA + Change Requests + Adjustments</t>
  </si>
  <si>
    <t xml:space="preserve">Most Recent NOA Amount </t>
  </si>
  <si>
    <t>Difference of Column L + M</t>
  </si>
  <si>
    <t>Original Budgeted Amount</t>
  </si>
  <si>
    <t>Initial Approved Work Program #</t>
  </si>
  <si>
    <t>Description of Project (Limited to 1500 characters)</t>
  </si>
  <si>
    <t>Brief description of structure and objectives of assistance program(s), including public health or negative economic impact experienced (Limited to 250 characters)</t>
  </si>
  <si>
    <t>Brief description of approach to ensuring the response is reasonable and proportional to a public health or negative economic impact of COVID-19. (limited to 250 characters)</t>
  </si>
  <si>
    <t>Narrative - Update on Project Status</t>
  </si>
  <si>
    <t>Completion Status</t>
  </si>
  <si>
    <t>Previous Obligations Reported</t>
  </si>
  <si>
    <t>Additional Obligations between March 1- March 31, 2025</t>
  </si>
  <si>
    <t>Total Obligations
DO NOT HARDCODE</t>
  </si>
  <si>
    <t>Previously Expended</t>
  </si>
  <si>
    <t>Expended  March 1- March 31, 2025</t>
  </si>
  <si>
    <t>Total Expended
DO NOT HARDCODE</t>
  </si>
  <si>
    <t>% Expended</t>
  </si>
  <si>
    <t>Approved
Adjustments (+/-)
(Work Programs + Budget Revisions)</t>
  </si>
  <si>
    <t>Revised Approved Budget</t>
  </si>
  <si>
    <t>Difference between most Recent NOA and Revised Approved Budget</t>
  </si>
  <si>
    <t>Additional Potential Deobligation Amount</t>
  </si>
  <si>
    <t>Sustainability: One Time Funding, Medicaid, Other Funding Source, Budget Request</t>
  </si>
  <si>
    <t xml:space="preserve"># of Households/Individuals Served/Tests/etc. </t>
  </si>
  <si>
    <t>Amount Allocated towards Evidence Based Interventions</t>
  </si>
  <si>
    <t>Is this project related to a Capital Expenditure?</t>
  </si>
  <si>
    <t>Area Served: Urban (Clark/Washoe), Rural or Statewide</t>
  </si>
  <si>
    <t>Topic Area: Behavioral Health (Adult or Children); Infrastructure; Public Health; Workforce; Other</t>
  </si>
  <si>
    <t>NOTES</t>
  </si>
  <si>
    <t>Difference (Revised approved budget less spent)</t>
  </si>
  <si>
    <t>23NVTRI01</t>
  </si>
  <si>
    <t>DHHS Director's Office - Nevada Transplant Institute</t>
  </si>
  <si>
    <t>23FR319503</t>
  </si>
  <si>
    <t>One Time Funding</t>
  </si>
  <si>
    <t>Infrastructure</t>
  </si>
  <si>
    <t xml:space="preserve">SFY24 WP 24FRF31951 Submitted 4/22 to align authority with balance of NOA. </t>
  </si>
  <si>
    <t>23EIPRC01</t>
  </si>
  <si>
    <t>DHHS Director's Office - Early Intervention Personnel Center</t>
  </si>
  <si>
    <t>23FR327601</t>
  </si>
  <si>
    <t>This proposal requests ARPA funding for the Nevada Early Intervention System (EIS) to develop a feasible solution and additional option to traditional academia in order to retain employees and assist them in meeting their professional requirements. An Early Intervention (EI) Personnel Center may facilitate a no-cost Developmental Specialist professional development curriculum for El professional learners that will be comparably rigorous to current, traditional paths of 18 course credits to educator licensure, and that would meet federal requirements through IDEA Part C for highly qualified professionals.</t>
  </si>
  <si>
    <t>The PD Center’s first three cohorts — most  recently completed on 04/11/2025 — had a total of 57 graduates. Annual subscription for the academic research platform  was paid. Contract PD Center director will continue with ARPA funds through June 2026, and thereafter funding for the position will be through annual formula grant funds. The Developmental Vision Specialist (DVS) series is in development and applications will begin in May 2025 and the series will begin in August 2025. ARPA funds were approved for costs related to DVS curriculum, materials (Braille machines). The PD Center presented six trainings in 2024-25 to statewide EI personnel and PD hours were provided. Project funding will be fully expended on supplies and staff cost by the end of SFY 2026.</t>
  </si>
  <si>
    <t>Workforce</t>
  </si>
  <si>
    <t xml:space="preserve">SFY24 WP 24FR327602 Submitted 4/25 to align authority with balance of NOA. </t>
  </si>
  <si>
    <t>23ARYRX01</t>
  </si>
  <si>
    <t>ArrayRx</t>
  </si>
  <si>
    <t>23FRF31951</t>
  </si>
  <si>
    <t>This project will fund a communications campaign for the launch of the Array prescription card program.</t>
  </si>
  <si>
    <t>Project complete. All funding was used for the development and publishing of a statewide advertising campaign in English and Spanish to promote the ArrayRX prescription drug card. As of February 2025, more than 16,000 Nevadans have enrolled in ArrayRx.</t>
  </si>
  <si>
    <t>Public Health</t>
  </si>
  <si>
    <t>22PRVSM01</t>
  </si>
  <si>
    <t>Human Services Provider Summit</t>
  </si>
  <si>
    <t>22FRF31951</t>
  </si>
  <si>
    <t xml:space="preserve">In collaboration with the Office of the Governor, DHHS hosted a Healthcare Provider Summit in 2022 to restart conversations that were put on hold for the pandemic; discuss ideas and innovations; and collaborate to better support the health of all Nevadans. </t>
  </si>
  <si>
    <t xml:space="preserve">Project complete. All funds have been expended. </t>
  </si>
  <si>
    <t>23DOCMP01</t>
  </si>
  <si>
    <t>DHHS Director's Office Computers</t>
  </si>
  <si>
    <t>23FR315001</t>
  </si>
  <si>
    <t>Funds were used to buy six laptops to enable staff to telework when needed, due to public health emergencies.</t>
  </si>
  <si>
    <t>23DOCMP02</t>
  </si>
  <si>
    <t>DHHS Director's Office Admin Svc and GMU</t>
  </si>
  <si>
    <t>23FR319502</t>
  </si>
  <si>
    <t>Three laptops were purchased for telework</t>
  </si>
  <si>
    <t>22CHCMH01</t>
  </si>
  <si>
    <t xml:space="preserve">CRG - Churchill Community Hospital Inc. </t>
  </si>
  <si>
    <t>3266/78</t>
  </si>
  <si>
    <t>22FRF32662</t>
  </si>
  <si>
    <t>Churchill Community Hospital Inc. project gave money directly to patients with financial or social challenges and no other county assistance right after leaving Banner Churchill Community Hospital. A licensed social worker helped identify patients who needed support. The project mainly helped patients get to their health care appointments by giving them money for transportation.</t>
  </si>
  <si>
    <t>Support was provided to patients in need after leaving the hospital, so they could obtain transportation to their follow-up doctor visits. Funding provided only to low- or moderate-income households or individuals.</t>
  </si>
  <si>
    <t>Social Services</t>
  </si>
  <si>
    <t>23GTGAC01</t>
  </si>
  <si>
    <t>Ackerman Center</t>
  </si>
  <si>
    <t>23FRF32794</t>
  </si>
  <si>
    <t>Funding was used to hire diagnostic and therapeutic providers to diagnose children with neurodevelopmental disorders. Funds were sub-awarded to the GGAF Ackerman Center, which is the only center in Southern Nevada that specializes in testing children with brain and development disorders as early as 12 to 14 months of age. The Ackerman Center's goal was to hire 100 clinicians to help kids quicker, reducing wait time from 9-18 months to 1-3 months, and diagnose more than 2,000 children annually.</t>
  </si>
  <si>
    <t>By hiring more providers to diagnose children, experienced staff at the Ackerman Center have more time to teach families and community workers. This helps more people understand developmental and intellectual disabilities. As the center grows and becomes more stable, GGAF can use more of its donations and grants to help families directly such as offering support programs, job training, and money for families who can’t afford important services.</t>
  </si>
  <si>
    <t xml:space="preserve">Expanding clinical staff resulted in a significant increase in the number of children in Southern Nevada being diagnosed, and therefore able to receive necessary therapies. Expanded staff also helped to reduce the long wait lists that caused families to leave the state in order to receive care more timely. </t>
  </si>
  <si>
    <t>Clark</t>
  </si>
  <si>
    <t>Behavioral Health (Adult/Children)</t>
  </si>
  <si>
    <t>23HCAPD01</t>
  </si>
  <si>
    <t>Home/Chore Assistance for people with Disabilities</t>
  </si>
  <si>
    <t>23FRF32665</t>
  </si>
  <si>
    <t>This project addresses existing waitlists for home and chore assistance services to older adults and people with disabilities. This project has also allowed the implementation of new service delivery models to expand capacity for this service.  The homemaker and chore assistance program offers critical services to people to help them remain healthy and safe in their homes. It is also one of the lowest return on investment services to support people in their homes.</t>
  </si>
  <si>
    <t xml:space="preserve">As a result of the pandemic and other economic factors,  service costs continue to increase, making it difficult to recruit personnel.   </t>
  </si>
  <si>
    <t xml:space="preserve">Funds have been obligated to subrecipients to address waitlists and/or to implement a new service delivery model. A small portion of funding has been obligated for a contract to support self-directed services.  This contract kicked off in January 2025 and is moving forward as expected.  All funding is projected to be expended by 12/31/25.  </t>
  </si>
  <si>
    <t>Waitlist</t>
  </si>
  <si>
    <t>23SVNEX01</t>
  </si>
  <si>
    <t>Service Navigation Expansion</t>
  </si>
  <si>
    <t>23FRF32666</t>
  </si>
  <si>
    <t>The goal of this project is to create an entry level pipeline for the health care workforce and address access to care for Nevada's most vulnerable population. The ARPA funding will be used to create a focused training on long-term service navigation and offer certification  as entry level navigators for long-term services and supports. These positions are critical to enhance the state's No Wrong Door efforts, educating individuals and families on programs and services, coordinating services across various programs, expanding access to various services, including Medicare counseling and Office for Consumer Health Assistance services. This funding will support the development of curriculum, grant-funded direct service providers, and administrative costs with a project start date of January 2023 and anticipated to be an ongoing service sustainable through Medicaid claiming, grant funds, and state general funds to the extent available.</t>
  </si>
  <si>
    <t xml:space="preserve">This project will help individuals navigate the long-term services and supports system and will increase the skills and knowledge of resource and service navigator professionals.  </t>
  </si>
  <si>
    <t xml:space="preserve">Increase capacity to provide assistance to inquiries and ensure all populations are served through a trained, professional workforce.  </t>
  </si>
  <si>
    <t xml:space="preserve">All funding has been obligated and is projected to be expended by 12/31/26. </t>
  </si>
  <si>
    <t>22CCSCR01</t>
  </si>
  <si>
    <t>Carson City Senior Center</t>
  </si>
  <si>
    <t>22FRF32661</t>
  </si>
  <si>
    <t>Sub-award to Carson City Senior Center under Community Recovery Grant.</t>
  </si>
  <si>
    <t>Funding was used to contract meal services to continue congregate and home-delivered meals for clients eligible under the Older Americans Act while the Carson City Senior Center kitchen was temporarily closed.</t>
  </si>
  <si>
    <t xml:space="preserve">Addressed food insecurity for vulnerable populations. </t>
  </si>
  <si>
    <t xml:space="preserve">Project completed. Remaining funds de-obligated. </t>
  </si>
  <si>
    <t>22OCHA01</t>
  </si>
  <si>
    <t>Office for Consumer Health Assistance</t>
  </si>
  <si>
    <t>22FRF32041</t>
  </si>
  <si>
    <t>This project funded an anticipated revenue shortfall related to a reduction in billable activities. The Office for Consumer Health Assistance, which includes the Bureau of Hospital Patients, a Workers Compensation Program, and the Office of Minority Health, provides a single point of contact for consumers statewide, including members of minority groups and injured workers regarding health care issues. The objective is to help understand their rights and responsibilities under various Nevada health care-related laws and health care plans, including industrial insurance policies. In addition, the office disseminates information through outreach activities including counseling, education and advocacy to increase awareness of and access to health care services.</t>
  </si>
  <si>
    <t>This project continued to pay costs incurred for delivering services to the community, which included outreach, counseling, education and advocacy to increase awareness of and access to health care services.</t>
  </si>
  <si>
    <t>Continuation of delivering health care services assistance.</t>
  </si>
  <si>
    <t>Project completed. All funds have been expended.</t>
  </si>
  <si>
    <t>22HHRHD01</t>
  </si>
  <si>
    <t>Helping Hands Rural Home Delivered Meals</t>
  </si>
  <si>
    <t>Funding was subawarded to Helping Hands Rural Home Delivered Meals under the Community Recovery Grant to provide food services in rural counties: Lincoln, Nye, Esmeralda, Carson City, Churchill Lyon and Mineral.</t>
  </si>
  <si>
    <t xml:space="preserve">Increased number of households that received food or food assistance. </t>
  </si>
  <si>
    <t>Served vulnerable and rural populations.</t>
  </si>
  <si>
    <t xml:space="preserve">Project completed. All funds have been expended. </t>
  </si>
  <si>
    <t>23CMSMI01</t>
  </si>
  <si>
    <t>Data System Modernization and Integration</t>
  </si>
  <si>
    <t>23FRF31513</t>
  </si>
  <si>
    <t>Funding was used to contract a vendor to design, develop, and implement ADSD's data system modernization, and contract two IT augmentation positions through the funding period.</t>
  </si>
  <si>
    <t xml:space="preserve">This project will benefit several public assistance programs and ensure timely access to services by Nevada's most vulnerable populations.  </t>
  </si>
  <si>
    <t xml:space="preserve">Increase response and communication for accessing services.  </t>
  </si>
  <si>
    <t xml:space="preserve">Multiple contracts and projects in place.  All funding obligated and expected to be fully expended by 12/31/26.  
</t>
  </si>
  <si>
    <t>23CONSV01</t>
  </si>
  <si>
    <t>Agency Operation Improvements</t>
  </si>
  <si>
    <t>23FRF31512</t>
  </si>
  <si>
    <t>This project will ensure internal program processes are efficient to best serve individuals in need of ADSD services; specifically, it will ensure home- and community-based waiver programs are in compliance with federal regulations to maintain federal funding and improve waiver service delivery.</t>
  </si>
  <si>
    <t xml:space="preserve">Contract 1 was completed in June 2024 and with all objectives met. Under Contract 2, the final project trainings are occurring in May and June 2025 and the remaining $26,966.92 will be expended by June 30, 2025.  
</t>
  </si>
  <si>
    <t>23DRCFL01</t>
  </si>
  <si>
    <t>Desert Regional Center, Intermediate Care Facility Flooring</t>
  </si>
  <si>
    <t>23FRF32791</t>
  </si>
  <si>
    <t>This funding was used to purchase and install new high-quality, high-traffic flooring at Desert Regional Center, an intermediate care facility (ICF) operated by ADSD. Flooring was showing signs of wear and tear and was difficult to maintain.  Installation of new flooring provides consistency across all homes at the facility and streamline cleaning procedures.</t>
  </si>
  <si>
    <t>Purchase and installation of new high-quality and high-traffic flooring to streamline and improve cleaning procedures, and to promote cleanliness and positive health outcomes.</t>
  </si>
  <si>
    <t>Project completed. Remaining funds have been de-obligated.</t>
  </si>
  <si>
    <t>23FCWPL01</t>
  </si>
  <si>
    <t>Personal Care Workforce Impact</t>
  </si>
  <si>
    <t>23FRF32669</t>
  </si>
  <si>
    <t>This project will establish a Caregiving Training Institute utilizing a consensus curriculum to train professional caregivers.</t>
  </si>
  <si>
    <t xml:space="preserve">This project is critical to Olmstead compliance to help people with disabilities stay out of institutional settings.  The availability of personal care professionals is critical to providing home- and community-based services.  </t>
  </si>
  <si>
    <t xml:space="preserve">The COVID-19 pandemic has exacerbated the personal care workforce shortage. This project aims to build a consensus-based training curriculum, while also supporting workforce development through outreach and incentives for recruitment and retention.  </t>
  </si>
  <si>
    <t xml:space="preserve">All contracts are in place.  Main project to develop training and workforce development pipeline is active and spending as expected.  Funds have been allocated for outreach which will begin in the third quarter of calendar year 2025. All funds expected to be expended.  </t>
  </si>
  <si>
    <t>23HBSMS01</t>
  </si>
  <si>
    <t>Home-Delivered Meals for Older Adults</t>
  </si>
  <si>
    <t>23FRF32663</t>
  </si>
  <si>
    <t>This project subawards have been obligated to 11 existing community partners will increase program capacity and address waitlists by providing home-delivered meals and necessary equipment</t>
  </si>
  <si>
    <t xml:space="preserve">To build capacity and reduce waitlist of older adults to receive home-delivered meals. </t>
  </si>
  <si>
    <t>Supports independent living for older adults through nutritious meals.</t>
  </si>
  <si>
    <t xml:space="preserve">All funds have been obligated and are expected to be expended.  </t>
  </si>
  <si>
    <t>23TELEQ01</t>
  </si>
  <si>
    <t>Telework Equipment</t>
  </si>
  <si>
    <t>23FRF31511</t>
  </si>
  <si>
    <t>Funding was used to purchase IT equipment to support remote work to mitigate the risk of infection disease transmission to the most vulnerable populations.</t>
  </si>
  <si>
    <t xml:space="preserve">Increase efficiency and productivity for a hybrid work environment.  </t>
  </si>
  <si>
    <t xml:space="preserve">Ensure team members are able to appropriately respond to public inquiries and continue vital services in a hybrid environment. </t>
  </si>
  <si>
    <t>23INHSV01</t>
  </si>
  <si>
    <t>Assistive Technology for Independent Living (AT/IL) Program and Home Safety, Modification, Repair Services and Bed Bug Remediation</t>
  </si>
  <si>
    <t>23FRF32661</t>
  </si>
  <si>
    <t>The goal of this project is to reduce the waitlists for the AT/IL, Home Safety Modification and Repair Services, and Bed Bug Remediation programs.</t>
  </si>
  <si>
    <t>Upon completion, this project will support individuals' ability to remain safe and independent in their own homes. Whether providing adaptive technology to enhance daily life, modifying homes to improve safety and accessibility, repairing critical household infrastructure, or eradicating bed bug infestations, these programs aid in improving quality of life. This funding is used to help address wait times and wait lists to of individuals seeking to live comfortably, independently, and with dignity in their own homes. This project prioritizes those currently on wait lists.</t>
  </si>
  <si>
    <t>All funds have been obligated and are expected to be expended.</t>
  </si>
  <si>
    <t>23TMCSY01</t>
  </si>
  <si>
    <t>Desert Regional Center, Intermediate Care Facility Electric Time Clock Installation</t>
  </si>
  <si>
    <t>23FRF32793</t>
  </si>
  <si>
    <t>Purchase and installation of an electric time clock system that allows employees to clock in and out for their shifts.</t>
  </si>
  <si>
    <t xml:space="preserve">Project completed. Remaining funds have been de-obligated. </t>
  </si>
  <si>
    <t>Completed 6/30/2023</t>
  </si>
  <si>
    <t>23MCSVC01</t>
  </si>
  <si>
    <t>Enhancing Health Literacy for Nevada's Underserved Populations</t>
  </si>
  <si>
    <t>23FRF32664</t>
  </si>
  <si>
    <t>Under this project, a vendor will be contracted to redesign and enhance ADSD's website and conduct a marketing and outreach campaign.</t>
  </si>
  <si>
    <t xml:space="preserve">ADSD is starting with a re-branding to simplify messaging for Nevadans and is also investing in a re-designed website that uses modern interfacing and organizational structure to highlight programs and services;  this project will also result in revised program materials and an outreach campaign aimed at promoting ADSD throughout Nevada.  </t>
  </si>
  <si>
    <t>ADSD mobilized the Nevada CAN network  to ensure older adults and people with disabilities were connected to critical services at the beginning of the pandemic.  This effort, along with Olmstead Planning feedback highlighted the importance of ADSD enhancing  their existing website and messaging to help the general population more easily recognize the services we have to offer and ensure people are connecting to services that are critical social determinants of health.</t>
  </si>
  <si>
    <t xml:space="preserve">The branding and redesigned website were launched in May 2025.  Project is on target to be fully expended by June 30, 2025. </t>
  </si>
  <si>
    <t>One Time Funding/Budget Request</t>
  </si>
  <si>
    <t>23NEISA01</t>
  </si>
  <si>
    <t>Nevada Early Intervention Services</t>
  </si>
  <si>
    <t>23FRF32082</t>
  </si>
  <si>
    <t>In this project, the consulting firm Health Management Associates (HMA) was contracted to conduct an analysis of the Nevada's Early Intervention System (NEIS) model and provide recommendations on the best proactive service delivery model. The contract with HMA for this project ended on Dec. 31, 2023, and final copy of report provided to program on June 7, 2024.</t>
  </si>
  <si>
    <t>The experiences of the COVID-19 pandemic have shown how fragile the NEIS system is. The need for sustainability planning is critical to the system’s success. Ultimately, ensuring children and families are receiving timely and appropriate services to support the development of the children in the program. Equally important is to strengthen and sustain the system for the service providers who provide these critical services to children.</t>
  </si>
  <si>
    <t>Work Program 24FRF32082 to deobligate remaining funds has been approved, close out letter received.</t>
  </si>
  <si>
    <t>23NVEIS01</t>
  </si>
  <si>
    <t>NEIS Telemedicine Mobile Carts</t>
  </si>
  <si>
    <t>23FRF32081</t>
  </si>
  <si>
    <t>This project will pay to acquire four Telemedicine Mobile Carts to be deployed at the four Nevada Early Intervention Services offices: Las Vegas, Carson City, Reno and Elko. These carts will be new tools for staff in these offices to build capacity for service delivery and diagnostics.</t>
  </si>
  <si>
    <t xml:space="preserve">Telemedicine Mobile Carts have allowed providers to evaluate children remotely through telehealth services, especially autism diagnostic assessments to families in rural and frontier areas. </t>
  </si>
  <si>
    <t>This has allowed a group of experts to evaluate children when families are not able to be physically in the office. Having these units in all offices has supported statewide access to Early Intervention Services. Providing additional access to telehealth services also reduces potential exposure of children already at high risk of COVID-19 and who otherwise are medically fragile.</t>
  </si>
  <si>
    <t>Project completed.</t>
  </si>
  <si>
    <t>Technology</t>
  </si>
  <si>
    <t>23RESSV01</t>
  </si>
  <si>
    <t>Mobile Respite Program</t>
  </si>
  <si>
    <t>23FRF32668</t>
  </si>
  <si>
    <t>Funding was to be used for the creation and implementation of a pilot mobile respite program and contract staffing for administration tasks.</t>
  </si>
  <si>
    <t xml:space="preserve">The Mobile Respite was targeted to rural communities where there is historically few respite options.  Remaining funding was to be used to support waitlist with existing subrecipients providing respite. </t>
  </si>
  <si>
    <t>Caregivers' physical and mental well-being were disproportionately affected by COVID-19 quarantines.</t>
  </si>
  <si>
    <t xml:space="preserve">Project not implemented. Funding de-obligated and returned to GFO. </t>
  </si>
  <si>
    <t>23RFPCN01</t>
  </si>
  <si>
    <t>Specialized Intensive Services of Developmental Services</t>
  </si>
  <si>
    <t>23FRF32795</t>
  </si>
  <si>
    <t>For this project, a consultant will be hired to assist in the development of a competitive RFP for intensive behavioral support homes, and funding for payment of services provided by the selected contracted service provider(s).</t>
  </si>
  <si>
    <t>This will allow regional centers providing Developmental Services the ability to support the high-dollar, intensive cases across the state, improving outcomes for those individuals and their families that are in need of this crucial service.</t>
  </si>
  <si>
    <t xml:space="preserve">Multiple projects in process.  Evaluating expenditures and project plans due to potential shifts in project.  </t>
  </si>
  <si>
    <t>23RSBEX01</t>
  </si>
  <si>
    <t>Community-Based Care Capacity Building</t>
  </si>
  <si>
    <t>23FR326610</t>
  </si>
  <si>
    <t>This project will award subgrants to community partners for construction, equipment, licensure, or other modifications needed to increase the number of available facility beds.</t>
  </si>
  <si>
    <t xml:space="preserve">Will increase residential facility bed availability statewide, providing safe, stable living spaces for the most vulnerable populations. </t>
  </si>
  <si>
    <t>All funds have been obligated and are expected to be expended. Two construction projects were completed in March 2025. Remaining construction projects are projected to be completed by 12/31/2025.</t>
  </si>
  <si>
    <t>23SPINC01</t>
  </si>
  <si>
    <t>Desert Regional Center, Intermediate Care Facility Speaker/Intercom Replacement</t>
  </si>
  <si>
    <t>23FRF32792</t>
  </si>
  <si>
    <t>This project replaced the speaker/intercom system at Desert Regional Center, an intermediate care facility (ICF).</t>
  </si>
  <si>
    <t>Replacement of the speaker/intercom system at Desert Willow will allow for increased ability to communicate across campus when additional assistance is needed to support residents of the ICF.</t>
  </si>
  <si>
    <t>24VCRE01</t>
  </si>
  <si>
    <t>ADSD Video Conference Equipment</t>
  </si>
  <si>
    <t xml:space="preserve"> $                               -  </t>
  </si>
  <si>
    <t xml:space="preserve"> 24FRF32788 </t>
  </si>
  <si>
    <t>Equipment and furniture for conference rooms across the Aging and Disability Services Division (ADSD).</t>
  </si>
  <si>
    <t>This new project will enable ADSD to upgrade existing technology in its conference rooms to support community engagement, training and planning efforts.</t>
  </si>
  <si>
    <t xml:space="preserve">New technology in ADSD conference rooms will allow the division to increase community engagement through both in-person and virtual meeting options that are easy for individuals to access. </t>
  </si>
  <si>
    <t xml:space="preserve">All funds have been obligated and expected to be expended by the end of the project period.  </t>
  </si>
  <si>
    <t>Completed more than 50%</t>
  </si>
  <si>
    <t xml:space="preserve"> One Time Funding </t>
  </si>
  <si>
    <t>23TELTR01</t>
  </si>
  <si>
    <t>Geriatric and Telehealth Workforce Training</t>
  </si>
  <si>
    <t>23FRF32667</t>
  </si>
  <si>
    <t>Funds for this project will be sub-awarded to existing community partners to increase telehealth services by expanding training to providers.</t>
  </si>
  <si>
    <t xml:space="preserve">Increases the accessibility of primary care services for more patients, especially older adults and persons with disabilities, as well as their family caregivers. Provides research data. </t>
  </si>
  <si>
    <t xml:space="preserve">All funds have been obligated and are expected to be expended by June 30, 2025. </t>
  </si>
  <si>
    <t>22EQRO01</t>
  </si>
  <si>
    <t>Medicaid EQRO</t>
  </si>
  <si>
    <t>22FRF31581</t>
  </si>
  <si>
    <t xml:space="preserve">The purpose of this project is to pay for a vendor to perform federally required external audits of Managed Care Organizations (MCO) and dental providers. Health Services Advisory Group (HSAG) was selected as the External Quality Review Organization (EQRO) vendor for the MCO and Dental Wavier-related activities.
</t>
  </si>
  <si>
    <t xml:space="preserve">This is to ensure that Medicaid recipients are given the right care in a timely manner and that providers meet other criteria. </t>
  </si>
  <si>
    <t xml:space="preserve"> One Time Funding</t>
  </si>
  <si>
    <t xml:space="preserve">This project was fully complete on 6/30/22. </t>
  </si>
  <si>
    <t>23SRASC01</t>
  </si>
  <si>
    <t>DHCFP - Security Risk Assessment Contract</t>
  </si>
  <si>
    <t>23FR31581</t>
  </si>
  <si>
    <t>These assessments are audited by a Federally Contracted Entity directed by the Centers for Medicare and Medicaid Services (CMS).  Non-compliance will result in corrective actions and fines from CMS.</t>
  </si>
  <si>
    <t xml:space="preserve">This project was fully complete on 6/30/23. </t>
  </si>
  <si>
    <t>23LARCS01</t>
  </si>
  <si>
    <t>DHCFP - Long-Acting Reversible Contraceptives (LARCs)</t>
  </si>
  <si>
    <t>23FR315802</t>
  </si>
  <si>
    <t xml:space="preserve">This project is to cover the cost of Long-Acting Reversible Contraceptives (LARCs) outside of the medical encounter rate for Federally Qualified Health Centers (FQHCs). </t>
  </si>
  <si>
    <t>Project cancelled. Remaining funds have been de-obligated.</t>
  </si>
  <si>
    <t>This project funding was de-obligated 6/14/23 and funding returned to GFO.  This should be removed from the potential ARPA report.  DHCFP was instead able to unbundle rates  for these services to accomplish the intended outcomes.</t>
  </si>
  <si>
    <t>23HCWSS01</t>
  </si>
  <si>
    <t>DHCFP - Health Care Workforce Scholarships</t>
  </si>
  <si>
    <t>23FR315810</t>
  </si>
  <si>
    <t xml:space="preserve">The Community Health Worker (CHW) program provides an entry level position into the health care field. Scholarships would be offered as incentives to encourage more individuals to complete the training and certification programs. </t>
  </si>
  <si>
    <t>To help alleviate the staffing shortages of qualified healthcare workers.</t>
  </si>
  <si>
    <t xml:space="preserve">This project was transferred to DPBH via WP C63699. </t>
  </si>
  <si>
    <t xml:space="preserve">This project and funding was transferred to DPBH in June of 2023 and is no longer tracked by DHCFP.  Expenditures reported occurred prior to the transfer of the project and all funding via WP C63699. </t>
  </si>
  <si>
    <t>23MCPAS01</t>
  </si>
  <si>
    <t>DHCFP - Medicaid Program Activity Studies</t>
  </si>
  <si>
    <t>23FR315811</t>
  </si>
  <si>
    <t>This project will support studies to guide future Medicaid program activities. Specifically, these funds will be used to conduct three initiatives/studies: (1) modernization of Medicaid payments to hospitals for births and infant care; (2) prenatal care quality improvement data collection and analysis; and (3) return on investment analysis of targeted wage increases for state workers on Medicaid.</t>
  </si>
  <si>
    <t>These studies will modernize Medicaid payments to hospitals, aid in prenatal data collection and provide wage justification for state workers on Medicaid.</t>
  </si>
  <si>
    <t>$1,206.575 was deobligated and returned to GFO on 9/8/23.  Projected costs in Q3 &amp; Q$ of SFY 24 are $530,010</t>
  </si>
  <si>
    <t>23EPCRA01</t>
  </si>
  <si>
    <t>DHCFP - Expansion of Prenatal Care in Rural Areas</t>
  </si>
  <si>
    <t>23FR315812</t>
  </si>
  <si>
    <t xml:space="preserve">This request will expand access to prenatal services by addressing barriers that limit FQHCs and Rural Health Clinics from offering prenatal services. 
</t>
  </si>
  <si>
    <t xml:space="preserve">Identified clinics serve many vulnerable and underserved populations, and currently only one FQHC offers prenatal care. There are a number of barriers that limit the FQHCs from offering prenatal services. </t>
  </si>
  <si>
    <t>Project cancelled, resources were not available to complete the project. Funds have been de-obligated.</t>
  </si>
  <si>
    <t xml:space="preserve">This funding was de-obligated 6/14/23 and returned to GFO. </t>
  </si>
  <si>
    <t>23SUSTF01</t>
  </si>
  <si>
    <t>DCHFP - Support Staff</t>
  </si>
  <si>
    <t>23FRF31583</t>
  </si>
  <si>
    <t xml:space="preserve">This project will address the immediate need for fiscal and operational support due to existing and increased requirements of the Medicaid program, which has seen a 38% increase in caseload since start of the pandemic. </t>
  </si>
  <si>
    <t>Additional Medicaid fiscal and support staff will enable DHCFP to maintain all operations and prevent delays and errors that would open up the state to audit findings and potentially jeopardizing federal funding.</t>
  </si>
  <si>
    <t xml:space="preserve">Medicaid caseload have grown by 38% since the start of the pandemic, with 1 in 4 Nevadans being covered by the program. This workload and level of effort is not sustainable and is leading to worker burn out and turnover.  </t>
  </si>
  <si>
    <t>Seven staff positions — from personnel to IT to budget and pharmacist — were filled as of Feb 2025. All seven will use remaining ARPA funds and then transition to 50/50 in SFY 2026.</t>
  </si>
  <si>
    <t>Medicaid</t>
  </si>
  <si>
    <t xml:space="preserve">Recommend classifying as Infrastructure.  The potential for de-obligation is $277,996 as these are state positions that are funded through 12/31/24. </t>
  </si>
  <si>
    <t>23CHPAC01</t>
  </si>
  <si>
    <t>DHCFP - Contractor Hosp. Provider Assessment and Managed Care State Program</t>
  </si>
  <si>
    <t>23FRF31584</t>
  </si>
  <si>
    <t xml:space="preserve">This project requests a one-time appropriation to obtain necessary national expertise and guidance in developing a state-managed, care-directed payment program for certain hospitals in support of state and federally mandated provider fees. This effort would support the planning for internal operations and oversight of the new directed payments, and any related activities for establishing new provider fees associated with these payment arrangements to ensure appropriate compliance with applicable state and federal laws. Starting Jan. 1, 2024, the Division of Health Care Financing and Policy began operating the Nevada Private Hospital Assessment &amp; Payment Program. This new program will fund new supplemental Medicaid payments for all private hospitals operating in the state with the goal of improving access to quality care for Medicaid recipients statewide. </t>
  </si>
  <si>
    <t>Establishment of this state-managed care directed payment program will result in revenue to the state. When matched with federal Medicaid funds for service rendered, the assessment revenue is expected to bring in an estimated $800 million per calendar year in new total Medicaid payments to private hospitals statewide on an annual basis.</t>
  </si>
  <si>
    <t>For SFY 2024 and the first six months of SFY 2025, more than 40 hospitals paid more than $388 million in provider tax to the State of Nevada. An amendment has been submitted to GFO to add nursing homes and ambulances to the provider tax; the amendment is expected to be heard at Board of Examiners in May 2025.</t>
  </si>
  <si>
    <t>23DHPIS01</t>
  </si>
  <si>
    <t>DHCFP - Dental Health Program in Schools</t>
  </si>
  <si>
    <t>23FRF31585</t>
  </si>
  <si>
    <t>This project provides for preventive dental care in children who otherwise have no access to these services. Providing dental services while children are attending school removes barriers to preventative services, and sealants are the first line of defense against carious lesions in children.</t>
  </si>
  <si>
    <t xml:space="preserve">This preventive dental care will help children who otherwise have no access to these services. It is estimated that 75,000 to 100,000 children would be served by providing funding to rebuild school-based dental sealant programs throughout the state. </t>
  </si>
  <si>
    <t xml:space="preserve">As of April 2025, the project is targeting third graders, when first molar sealants are the most efficacious, with some interventions in junior and high school.  For the 2023-24 and 2024-25 school years, nearly 13,000 Nevada school age children statewide received dental screenings and sealants from providers that were awarded funds through this project. Five subawards were given for the 2025-26 school year with the program expecting to use the remaining funds by the end of SFY 2026. </t>
  </si>
  <si>
    <t>2,696 children</t>
  </si>
  <si>
    <t>23SYUIM01</t>
  </si>
  <si>
    <t>DHCFP - System Update and Improvement</t>
  </si>
  <si>
    <t>23FRF31586</t>
  </si>
  <si>
    <t xml:space="preserve">This request funds a centralized credentialing and re-credentialing process that will allow Medicaid providers to complete one enrollment for Fee for Service and all Managed Care Organization plans.
Surveillance Utilization and Review (SUR) Data System  42 CFR 455.23 requires the state to suspend Medicaid payments to a provider after determining there is a credible allegation of fraud, unless the agency has good cause not to. 42 CFR 455.23(g)(3) requires states to submit an annual Medicaid Payment Suspension report to the Centers for Medicare and Medicaid Services (CMS). 
 </t>
  </si>
  <si>
    <t xml:space="preserve">These systems facilitate administrative simplification between programs.  A case management system would reduce the amount of manual input, and substantially reduce staff time required for frequent manual reconciliations.  </t>
  </si>
  <si>
    <t>Centralized Credentialing - contract started March 12,  2024; and SUR Database - contract started April 9, 2024. This was extended to June 30, 2026, in order for DHCFP to use one-shot funding that expires June 30, 2025. $500K is budgeted for Centralized Credentialing and $883 is budgeted for SUR Database. DHCFP will use remaining funds for the development and maintenance and operation.</t>
  </si>
  <si>
    <t>23IPTOC01</t>
  </si>
  <si>
    <t>DHCFP - In-person Tribal outreach and consultation</t>
  </si>
  <si>
    <t>23FRF31589</t>
  </si>
  <si>
    <t>This project will support collaboration and communication with Nevada’s Tribes. The DHHS Tribal Liaisons (one or two Tribal Liaisons for each of the five DHHS divisions) are requesting travel budgets to ensure their ability to attend listening sessions and outreach events to the 28 tribal nations in the state of Nevada.</t>
  </si>
  <si>
    <t>Primary objective of this outreach was to connect the Tribes in Nevada with additional health and social services as many are located in rural and frontier counties with limited access to resources and often leading to outdated information available to community members. Many tribes were unaware of the 988 and 211 resources; an uptick in phone and email communications was noted as a result of this outreach project.</t>
  </si>
  <si>
    <t>The COVID-19 pandemic resulted in a significant loss of communication due to fears associated with the pandemic, as well as turnover in both DHHS and the Tribal agencies. DHHS outreach helped re-establish open communication and connect with Tribal Health Clinics to understand the needs of the community (specifically areas such as increased health concerns and suicides within Tribal communities) as a direct result of the isolation brought on by COVID-19.</t>
  </si>
  <si>
    <t>23CHWHS01</t>
  </si>
  <si>
    <t>DHCFP - Children's Health and Wellness Health  Services Initiative</t>
  </si>
  <si>
    <t>23FR315803</t>
  </si>
  <si>
    <t>The goal of this project is to create a Children's Health and Welfare Wellness Trust to address social determinants and social drivers of health for Nevada's children. The expected outcome of investing in children's socioeconomic needs is long-term improvements in health outcomes. Technical assistance from national experts would help Nevada establish a well-developed program that follows national best practices.</t>
  </si>
  <si>
    <t>DHCFP is seeking technical assistance to establish the fund and assistance in implementing the project.  The fund will address children/youth involved in the welfare system</t>
  </si>
  <si>
    <t>Project cancelled due to a lack of resources. Remaining funds have been de-obligated.</t>
  </si>
  <si>
    <t>23IBCLC01</t>
  </si>
  <si>
    <t>DHCFP - International Board Certified Lactation Consultants</t>
  </si>
  <si>
    <t>23FR315801</t>
  </si>
  <si>
    <t xml:space="preserve">This project provides one-time funding to support incubation and Baby-Friendly certified hospitals and birthing centers in Nevada to support the choice of breastfeeding, and increase the number of lactation consultants through underwriting cost of certification and other charges. </t>
  </si>
  <si>
    <t>This project supports the choice of breastfeeding in Nevada by increasing the number of lactation consultants through underwriting the cost of certification and associated charges.</t>
  </si>
  <si>
    <t xml:space="preserve">Total births 2020, 35,542 x 84% (16/19 hospitals and birthing center) = 29,855 infants
15 birthing hospitals and 1 Birthing Center
10 IBCLCs--.  International Board Certified Lactation Consultant (IBCLC) training and certification
Are identified in this request.   </t>
  </si>
  <si>
    <t>This project has been transferred to DPBH effective June 2023. See project 23IBCLC02.</t>
  </si>
  <si>
    <t>23RSMN01</t>
  </si>
  <si>
    <t>DHCFP - Roseman University - School of Medicine</t>
  </si>
  <si>
    <t>23FR315816</t>
  </si>
  <si>
    <t>This project is a one-time investment by the state in the amount of $10 million to allow Roseman University to launch its College of Medicine, thus helping to meet the health care needs of Nevada citizens, particularly the most underserved.</t>
  </si>
  <si>
    <t>The establishment of a new school of medicine will increase new health care workers to the state of Nevada workforce.</t>
  </si>
  <si>
    <t>As of March 2025, 29 staff have been hired to support the establishment of the Roseman School of Medicine. Remaining funds expected to be spent by June 30, 2025.</t>
  </si>
  <si>
    <t>23LTCAL01</t>
  </si>
  <si>
    <t>Long Term Care Funding for Assisted Living and Nursing Facility Workforce</t>
  </si>
  <si>
    <t>3158/3243</t>
  </si>
  <si>
    <t>23FRF32431</t>
  </si>
  <si>
    <t>This project will fund supplemental payments to support Nevada's assisted living and nursing facility workforce and a contracted Management Analyst 3 (MA3) to work on an audit ensuring compliance with the project terms.</t>
  </si>
  <si>
    <t xml:space="preserve">210 providers have received the additional funding. </t>
  </si>
  <si>
    <t>23RDPST01</t>
  </si>
  <si>
    <t>Rare Disease Provide Study</t>
  </si>
  <si>
    <t>23FR315815</t>
  </si>
  <si>
    <t>This project will fund a review of providers of rare diseases and childhood cancer and clinical centers that render services for children with rare conditions</t>
  </si>
  <si>
    <t>Project ended early; de-obligating remaining funds.</t>
  </si>
  <si>
    <t>22LVMHC01</t>
  </si>
  <si>
    <t>SNAMHS MASTER PLAN</t>
  </si>
  <si>
    <t>22FRF31611</t>
  </si>
  <si>
    <t xml:space="preserve">The purpose of this project is to create a plan for the of use state land on the Southern Nevada Adult Mental Health Services (SNAMHS) campus to establish transitional housing for children, seniors and single families. </t>
  </si>
  <si>
    <t>22FRHSP01</t>
  </si>
  <si>
    <t>STEIN FORENSIC HOSP. - RENOVATIONS
SPWD Project#: 22-A001</t>
  </si>
  <si>
    <t>22FRF31612/
23FRF31613</t>
  </si>
  <si>
    <t>This project updates and replaces the two elevators and anti-ligature upgrades in the Allied Therapy room and for the expansion of the existing control room in Stein Hospital.</t>
  </si>
  <si>
    <t>Remaining Balance of Project Deobligated 2/2024</t>
  </si>
  <si>
    <t>23ANTLG01</t>
  </si>
  <si>
    <t>Anti Ligature Furniture</t>
  </si>
  <si>
    <t>23FRF31612</t>
  </si>
  <si>
    <t>This project will upgrade Stein and Rawson Neal hospitals at SNAMHS with anti-ligature furniture, which is designed to reduce the possibility of using features such as knobs or holes where ropes or cords can be attached and used for self-harm.</t>
  </si>
  <si>
    <t>Reducing risk of self-harm is crucial in settings such as mental health facilities.</t>
  </si>
  <si>
    <t>24FRB3A01</t>
  </si>
  <si>
    <t>Building 3A Forensic Renovation</t>
  </si>
  <si>
    <t>24FRF31615/
24FR31617/
25FRF31615</t>
  </si>
  <si>
    <t>This project will complete the renovation of Building 3A at SNAMHS to permit increased bed capacity by 21 beds.</t>
  </si>
  <si>
    <t>This project provides funding to update the existing building for forensic program use.</t>
  </si>
  <si>
    <t>The emergency project for Building 3A at SNAMHS, which was approved during the Oct. 2, 2024, State Board of Examiners meeting, continues to move forward. Construction was completed in May 2025 and the health facility license is being processed for occupancy by July 1, 2025.</t>
  </si>
  <si>
    <t>Budget Request</t>
  </si>
  <si>
    <t>23FBCLV01</t>
  </si>
  <si>
    <t>Forensic Bed Capacity LV</t>
  </si>
  <si>
    <t>23FRF31615</t>
  </si>
  <si>
    <t>This project will fund expansion of forensic bed capacity by 45 beds at the City of Las Vegas' detention center, to include construction needs and staffing.</t>
  </si>
  <si>
    <t>The City of Las Vegas has two empty units at their detention center, the building  and area in a secured locked environment for  client population that are court order to DPBH custody of restoration to competency.</t>
  </si>
  <si>
    <t>Project cancelled in September 2023.</t>
  </si>
  <si>
    <t>23RCCLV01</t>
  </si>
  <si>
    <t>Recuperative Care Center Expansion</t>
  </si>
  <si>
    <t>23FRF31616</t>
  </si>
  <si>
    <t>A collaborative effort with City of Las Vegas to fund a Recuperative Care Center expansion for homeless population to recover from medical injury or illness following a discharge from a hospital.</t>
  </si>
  <si>
    <t>A 50-bed facility expansion to provide medical respite within City of Las Vegas limits assisting  with wound care, cardiac issues, oxygen, cancer, hospice services, pre and prost-surgical procedures, diabetes and more.</t>
  </si>
  <si>
    <t>The Recuperative Care Center launch in August 2020 filled a major gap in addressing the health care of people experiencing  homelessness exacerbated by the COVID-19 Pandemic.</t>
  </si>
  <si>
    <t>Budget modification request from City of Las Vegas approved by GFO in March 2024 and anticipated start date of July 2025.</t>
  </si>
  <si>
    <t>24SNFLT01</t>
  </si>
  <si>
    <t>Skilled Nursing Facility</t>
  </si>
  <si>
    <t>24FRF31614</t>
  </si>
  <si>
    <t>This project will fund the placement of 11 long-term civil and forensic clients into partnering skilled nursing facilities. The forensic clients would need to be conditionally released and remain committed to DPBH.</t>
  </si>
  <si>
    <t>DPBH continues to benefit from community placements for select individuals. The use of skilled nursing facilities has opened beds at the forensic hospitals which can now be used for restoration clients.</t>
  </si>
  <si>
    <t>Placements have begun in the north. Vendor has been set up for placements in the south.</t>
  </si>
  <si>
    <t>24JBMHP01</t>
  </si>
  <si>
    <t>Jail Based Mental Health Programs (SNAMHS/NNAMHS)</t>
  </si>
  <si>
    <t>24FRF31611</t>
  </si>
  <si>
    <t xml:space="preserve">This project will establish jail-based mental health programs for 30 individuals in the Washoe County jail and for 60 individuals in the Clark County detention center. </t>
  </si>
  <si>
    <t>This funding will allow individuals awaiting inpatient restoration services to receive mental health services in the respective jail that will begin the treatment process.</t>
  </si>
  <si>
    <t>As of April 2025, more than more than 475 individuals awaiting inpatient forensic services have participated in one of the two jail-based treatment programs. These programs have made a positive impact on the statewide forensic waitlist.</t>
  </si>
  <si>
    <t>23NVRES01</t>
  </si>
  <si>
    <t>Nevada Resilience Project</t>
  </si>
  <si>
    <t>23FRF31651</t>
  </si>
  <si>
    <t xml:space="preserve">Paid for Resilience Ambassador positions in other agencies. </t>
  </si>
  <si>
    <t>Resilience Ambassadors provided services to 1,480 individuals in the last quarter under the Health Disparity (CAT 13) grant, averaging 493.3 individuals per month. Additionally, another 2,074 individuals were served under Prevention (CAT 27) dollars, averaging 691.3 individuals per month.</t>
  </si>
  <si>
    <t>$1,956,000 was allocated for expansion of Nevada Resilience Project to continue providing evidence-based interventions, such as Psychological First Aid, Skills for Psychological Recovery, and sought to certify all staff as Community Health Workers and Peer Support, if qualified. All services are strictly focused on prevention and early intervention with regard to mental and behavioral health stress post-crisis/disaster.</t>
  </si>
  <si>
    <t>23BH98801</t>
  </si>
  <si>
    <t>988 Crisis Response System</t>
  </si>
  <si>
    <t>23FRF31652</t>
  </si>
  <si>
    <t xml:space="preserve">This project aims to expand the 988 Suicide and Crisis Lifeline in Nevada through improved technology infrastructure and increasing 988 capacity by opening a second call center in the state. By implementing these core functionalities of the 988 Lifeline, Nevada can build out a fully functioning Crisis Response System (CRS) to immediately respond to any behavioral health emergency in the state. This grant partially paid for a historic expansion of 988 Lifeline Services through a contract with Carelon Behavioral Health. The grant also paid for a contracted Project Manager position to help manage a Request for Proposal for 988 services and the immediate rollout with Carelon. </t>
  </si>
  <si>
    <t xml:space="preserve">Fully funding both the 988 Crisis Call Center and Care Traffic Control Hub simultaneously, along with the other components of a CRS, will create a fully functional system that can deploy resources to Nevadans in crisis, mitigating serious consequences that result in negative, sometimes fatal outcomes. </t>
  </si>
  <si>
    <t xml:space="preserve">The pandemic exacerbated mental health concerns and suicide in Nevada communities. By creating a more comprehensive 988 Lifeline, DPBH provides support systems for individuals with mental health struggles. </t>
  </si>
  <si>
    <t xml:space="preserve">DPBH is working on getting the re-allocation change request completed, and anticipates all funds being expended by June 2025. </t>
  </si>
  <si>
    <t xml:space="preserve">Data per month:
2600 calls 
480 chats
520 texts
State projects the above data for use of the 988 call center, which the funds will be used to launch.
</t>
  </si>
  <si>
    <t xml:space="preserve">3.1 million allocated for the release of RFP and launch of 988 will be Nationally certified suicide prevention lifeline, Vibrant accreditation standards met for crisis call center and SAMHSA National guidelines for behavioral health crisis care Best practices. </t>
  </si>
  <si>
    <t>23CSSBC01</t>
  </si>
  <si>
    <t>Crisis Stabilization Centers</t>
  </si>
  <si>
    <t>23FRF31653</t>
  </si>
  <si>
    <t>These projects executed contracts with hospitals to provide funding for infrastructure, tenant improvement, and operational costs o establish crisis stabilization centers for children, youth and families</t>
  </si>
  <si>
    <t>Funding awarded to Clark County in Southern Nevada and to Renown in Northern Nevada will help provide a statewide approach to mental-health concerns exacerbated by COVID-19.</t>
  </si>
  <si>
    <t>Clark County purchased a building and expects to open its Crisis Center later this year. Renown Crisis Care center successfully opened but has paused operations as of April 2025 due to the sudden termination of other federal grants funding the project.</t>
  </si>
  <si>
    <t>23EMGCS01</t>
  </si>
  <si>
    <t>Emergency Funding for Crisis Care</t>
  </si>
  <si>
    <t>23FRF31654</t>
  </si>
  <si>
    <t xml:space="preserve">This project will provide emergency funding to address the surge in behavioral health needs as it relates to the pandemic for behavioral health crisis triage, residential, and inpatient services </t>
  </si>
  <si>
    <t>Expansion services to include residential treatment services to ensure medically necessary treatment can be provided to those with acute needs</t>
  </si>
  <si>
    <t xml:space="preserve">Funding was allocated to support un-insured and under insured Nevadans suffering from a mental health crisis. Currently $720,488.00 has been spent and DPBH is negotiating for additional subawards to be created with state-operated hospitals to utilize this funding. </t>
  </si>
  <si>
    <t xml:space="preserve">Reno Behavioral Health is 100% expended; Desert Parkway is 41% expended; and Seven Hills is only 11% expended. As of April 2025, a request for a six-month extension to expend all remaining funds is in process but has not been submitted to GFO. All providers anticipate expending fully.  </t>
  </si>
  <si>
    <t>23MYAVT01</t>
  </si>
  <si>
    <t>my AVATAR</t>
  </si>
  <si>
    <t>23FRF31681</t>
  </si>
  <si>
    <t>This project will upgrade AVATAR to NX. my Avatar is an Netsmart ONC-certified electronic health record (eHR) solution specifically designed for behavioral health care and addiction treatment in community-based, residential, and inpatient programs. DPBH's application is currently operating on an aging Netsmart platform which is soon to become obsolete. The aging version needs to be upgraded to the Netsmart NX version or needs to be replaced prior to 10/14/2025 due to dependencies on Internet Explorer 11. IE11 has a dependency on Windows 10 and the security patches and updates will no longer be available after that date.  The existing platform is also Java 32 bit dependent, which is high maintenance. In addition, the vendor has moved on to enhancing and supporting upgraded versions of the existing application which introduces limitations on current functionality available for upgrades and enhancements as technology continues to change.</t>
  </si>
  <si>
    <t>The project is to be completed June 30, 2024; no additional funding will be required.  WP is being processed to de-obligate funds.</t>
  </si>
  <si>
    <t>22FSCPT01</t>
  </si>
  <si>
    <t>CRG - Family Support Center</t>
  </si>
  <si>
    <t>22FRF31701</t>
  </si>
  <si>
    <t>This project proposal suggests funding a Family Support Center to decrease wait times for mental health, substance use and abuse, trauma, and family strengthening services for individuals who have feelings of loneliness, anxiety, depression, or drug use due to the COVID-19 pandemic through referrals and case management.</t>
  </si>
  <si>
    <t xml:space="preserve">The objective of this project is to increase access to mental health, substance use and abuse, trauma, and family strengthening services through the addition of certified staff. </t>
  </si>
  <si>
    <t xml:space="preserve">Additional individuals and families will be able to get services sooner and reduce the wait times and wait lists for these services. </t>
  </si>
  <si>
    <t>22MXYUP01</t>
  </si>
  <si>
    <t>CRG - Moxy Up</t>
  </si>
  <si>
    <t>22FRF31702</t>
  </si>
  <si>
    <t>This project will fund staff at "Moxy Up," a non-profit organization in Douglas County to ensure stability in providing an increased need for education assistance and youth crisis services due to the COVID 19 pandemic, which changed the learning environment for youth by causing isolation during times of exposure</t>
  </si>
  <si>
    <t>Ensure stability in providing an increased need for education assistance and youth crisis services due to the COVID 19 pandemic</t>
  </si>
  <si>
    <t xml:space="preserve">The project mitigated isolation and trauma caused by the COVID pandemic. </t>
  </si>
  <si>
    <t>23MHINP01</t>
  </si>
  <si>
    <t>Mental Health Integration</t>
  </si>
  <si>
    <t>23FRF31703</t>
  </si>
  <si>
    <t>This project will provide funding to Assertive Community Treatment (ACT) and Forensic Assertive Community Treatment (FACT) programs statewide, addressing mental health concerns and diverting individuals from expensive justice systems to save taxpayer dollars.</t>
  </si>
  <si>
    <t>Funded ACT programs to in Washoe and Clark counties aim to divert certain populations from the criminal justice system.</t>
  </si>
  <si>
    <t xml:space="preserve">COVID-19 exacerbated mental health concerns in the community, and this project increased resources to address that concern. </t>
  </si>
  <si>
    <t>Project completed and all funds have been expended.</t>
  </si>
  <si>
    <t>23NWSPE01</t>
  </si>
  <si>
    <t>Newborn Screen Panel Expansion</t>
  </si>
  <si>
    <t>23FRF31704</t>
  </si>
  <si>
    <t>This project would have purchased equipment to run opioid exposure panel as part of the newborn screening panel at the Nevada State Public Health Lab.</t>
  </si>
  <si>
    <t>These funds are allocated to fund lab equipment to check for opioid exposure at birth. By identifying newborn children exposed to opioids, DPBH would improve health outcomes for these newborns as they grew into childhood and adulthood.</t>
  </si>
  <si>
    <t>22CSAA01</t>
  </si>
  <si>
    <t>COVID-19 Call Center</t>
  </si>
  <si>
    <t>22FR321301</t>
  </si>
  <si>
    <t>The call center was available seven days per week from 7 a.m. to 8 p.m. when this project was funded and operational.</t>
  </si>
  <si>
    <t xml:space="preserve">The call center ensured that all Nevada residents were able to navigate access to services for COVID vaccines and therapeutics. </t>
  </si>
  <si>
    <t>Between 1/2022-3/2022: 12,763 inbound vaccine calls, 1,053 testing/therapeutics calls, 971 inbound Spanish vaccine/testing calls, 1,178 inbound calls from homebound individuals, 3,295 chats answered, 65,267 outreach calls made, 1,216 NV WebIZ assists</t>
  </si>
  <si>
    <t>22NRSAP01</t>
  </si>
  <si>
    <t>Nursing Assistance Program</t>
  </si>
  <si>
    <t>22FR321601</t>
  </si>
  <si>
    <t>This project will facilitate and increase participation in the Nurse Apprenticeship Program (NAP).</t>
  </si>
  <si>
    <t>Increase health care staffing in critical access hospitals, acute care and skilled nursing facilities by offering nursing students the opportunity to become employed and skills they are certified to perform while still in nursing school.</t>
  </si>
  <si>
    <t>COVID-19 highlighted issues surrounding Nevada’s health care workforce shortage. Funding and promoting the NAP and assisting healthcare facilities with employing nursing students will increase sustainability of the nursing workforce throughout the state.</t>
  </si>
  <si>
    <t xml:space="preserve">The NAP, executed by Nevada Rural Hospital Partners (NRHP), continues to submit monthly requests for reimbursement for the payment of salaries, travel expenses, and retention bonuses to nurse apprentices across the state. The program has maintained compliance with all ARPA requirements for use of funds. The program was awarded additional funds at the July 2024 IFC and program deadline has been extended to June 30, 2025. </t>
  </si>
  <si>
    <t>22MCOTC01</t>
  </si>
  <si>
    <t>Monoclonal Antibody/Therapeutic Treatments</t>
  </si>
  <si>
    <t>22FR321801</t>
  </si>
  <si>
    <t xml:space="preserve">This project will provide COVID therapeutics statewide, free of charge for those at risk of severe disease. This includes telehealth, monoclonal antibody treatments, and Evershed for pre-exposure. </t>
  </si>
  <si>
    <t>Residents can call the 800 number or visit the NVHealthResponse website to access the services. They will be pre-screened and if they qualify can seek services either at a fixed site or telehealth.</t>
  </si>
  <si>
    <t xml:space="preserve">These treatments have been shown to reduce the risk of severe disease and death by as much as 90%. </t>
  </si>
  <si>
    <t>22CVTST01</t>
  </si>
  <si>
    <t>COVID-19 Rapid Test Kits</t>
  </si>
  <si>
    <t>22FR321802</t>
  </si>
  <si>
    <t>Purchase at-home rapid antigen testing kits to be distributed throughout Nevada by community partners.</t>
  </si>
  <si>
    <t xml:space="preserve">At-home kits are available at locations statewide. Residents can call the 800 number or visit the Nevada Health Response website to identify the locations of the kits in their communities.  </t>
  </si>
  <si>
    <t xml:space="preserve">Testing for COVID is a key part of the public health response to the pandemic. Ensuring that residents have free and easy to use testing allows them to screen and isolate if positive. </t>
  </si>
  <si>
    <t>588,000 tests</t>
  </si>
  <si>
    <t>22CVTST02</t>
  </si>
  <si>
    <t>COVID-19 Test Kits/CSAA Call Center/ NICUSA Contract</t>
  </si>
  <si>
    <t>22FR321803</t>
  </si>
  <si>
    <t xml:space="preserve">At-home kits will be made available at locations statewide and residents could call the 800 number or visit the Nevada Health Response website to identify the locations of the kits in their communities. The LCB testing site was been offered to any residents free of charge. Testing and therapeutic service support will be available through the CSAA call center. </t>
  </si>
  <si>
    <t>The call center was available seven days per week from 7 a.m. to 8 p.m. to help keep the public informed.</t>
  </si>
  <si>
    <t>Testing for COVID was a key part of the public health response to the pandemic. Ensuring that residents had free and easy-to-use testing allowed them to screen and isolate if positive.</t>
  </si>
  <si>
    <t>23MNKPX01</t>
  </si>
  <si>
    <t>MEN'S HEALTH INFORMATION CAMPAIGN / Monkeypox</t>
  </si>
  <si>
    <t>23FRF32191</t>
  </si>
  <si>
    <t xml:space="preserve">This project will fund Community Health Workers and an awareness campaign regarding the transmission of monkeypox (Mpox) and other health issues for gay and bisexual men. </t>
  </si>
  <si>
    <t>The KPS3 media campaign was hugely successful, generating a large amount of reach over a variety of social media platforms. Silver State Equality was also able to implement and support traditional and social media messaging developed by KPS3, and create materials for stigma reduction and educational purposes.  </t>
  </si>
  <si>
    <t xml:space="preserve">Project complete. Remaining funds have been de-obligated. </t>
  </si>
  <si>
    <t>23CFAEP01</t>
  </si>
  <si>
    <t>Epidemiologist</t>
  </si>
  <si>
    <t>23FRF32192</t>
  </si>
  <si>
    <t>This project will provide direct support to public departments and provide advance training to people entering the public health workforce.</t>
  </si>
  <si>
    <t xml:space="preserve">Support will be provided through increased staffing to the Office of State Epidemiology and the Office of Analytics through contracted staff to enhance public health infrastructure and response. </t>
  </si>
  <si>
    <t>Allows for increased efficiency to increased public health impact from COVID-19. Will continuously assess DHHS workforce needs to hire staff as necessary</t>
  </si>
  <si>
    <t>23GIDTR01</t>
  </si>
  <si>
    <t>Genomic Infectious Disease Tracking</t>
  </si>
  <si>
    <t>23FRF32193</t>
  </si>
  <si>
    <t xml:space="preserve">The Nevada State Public Health Laboratory (NSPHL) received a subgrant to support genomic infection disease tracking, data analysis, and enhanced training to support the work of epidemiologists and investigators in the knowledge of genomic biology. </t>
  </si>
  <si>
    <t>NSPHL and OSE are applying for Epidemiology and Laboratory Capacity (ELC) Grant funding through CDC and writing in the Genomic-Epi-Lab Specialist for Project D-Advanced Molecular Detection. If funded, this position and associated project deliverables will have sustainability through the end of ARPA Funding until the end of the ELC 5 year grant cycle, which is 7/31/2029</t>
  </si>
  <si>
    <t>23CDPHP01</t>
  </si>
  <si>
    <t>Chronic Disease and Health Promotion</t>
  </si>
  <si>
    <t>23FR322001</t>
  </si>
  <si>
    <t>Southern Nevada Health District and Northern Nevada Public Health were funded to promote wellness efforts, as well as to create a wellness website and other training and related media.  Wellness efforts are centered around the Healthy Eating and Active Living Nevada or Healnv.com website and associated resource promotion to encourage healthy behaviors when it comes to nutrition and exercise.  Widespread engagement of providers, families, educators, and worksites are targets of funded efforts.</t>
  </si>
  <si>
    <t>Objectives are to support wellness efforts statewide with selected local health authorities sharing wellness content and educating on healthy behaviors to prevent chronic diseases.</t>
  </si>
  <si>
    <t>Wellness efforts support health and decrease factors leading to chronic disease development and associated higher COVID-19 risk.</t>
  </si>
  <si>
    <t xml:space="preserve">This project is on track and spend down is appropriate.  A term extension request was submitted to GFO through to June 30, 2025, to accommodate the needs of the local health authorities. Wellness and 5-2-1-0 activities continue in an effort to improve physical activity, nutrition, and educational outreach to promote wellness. </t>
  </si>
  <si>
    <t>Wellness efforts by two local health authorities continue.</t>
  </si>
  <si>
    <t>22BBNTY01</t>
  </si>
  <si>
    <t>CRG - Baby's Bounty Diaper Bank/Baby Bundles</t>
  </si>
  <si>
    <t>22FR322201</t>
  </si>
  <si>
    <t xml:space="preserve">The project will provide child safety and wellness items for families living at or under 130% Federal Poverty Level in Clark County.  Baby bundles (517 distributed by vendor) of diapering resources, car seats, and safe sleep environments were provided.  The parent or guardian received a week’s supply of diapers (approximately 50) and a pack of wipes in a reusable tote for each child.  Each baby bundle included a portable crib, an infant regulation car seat, a bathtub, 25 items of clothing, infant towels, washcloths, a safe sleep kit, receiving blankets, a front carrier, bibs, baby books, a toiletry kit including baby wash, baby lotion, diaper cream, diapers, and wipes. Breastfeeding items and formula were also offered by request.  </t>
  </si>
  <si>
    <t>Low-income families received safety, wellness, and diapering resources.  Car seats and safe sleep environments provided prevent infant mortality.</t>
  </si>
  <si>
    <t>Families impacted by the pandemic economically and who are low income will be able to receive  life-saving and health promoting interventions they would otherwise not be able to afford.</t>
  </si>
  <si>
    <t>Between 4/1/22 and 9/30/22, 13 diaper banks were held, each serving between 500-600 families and 397 Baby Bundles were distributed to families.</t>
  </si>
  <si>
    <t>23NBSTR01</t>
  </si>
  <si>
    <t>UNR NSPHL Newborn</t>
  </si>
  <si>
    <t>23FR322202</t>
  </si>
  <si>
    <t>This project supports the addition of five new disorders on the newborn screening blood spot panel, as well as associated equipment and supplies to add those disorders, and implementation of an HL7 connection to selected state birthing hospitals.</t>
  </si>
  <si>
    <t>The objective of the funding is to ensure infants are screened for five additional disorders to ensure timely detection and treatment to prevent mortality and severe morbidity.</t>
  </si>
  <si>
    <t>This project has successfully launched two new disorders on the newborn screening blood spot panel, and an additional three disorders over the term of the project are pending and will be completed before Oct. 31, 2026.  Enhanced data sharing with five birthing hospitals to speed access to critical treatment is also being implemented under this project.</t>
  </si>
  <si>
    <t>One time funding</t>
  </si>
  <si>
    <t>Partial equipment purchases have been completed and testing in in process for X-ALD with an estimated launch date of late September.</t>
  </si>
  <si>
    <t>All of the award; newborn screening is an evidence based intervention.</t>
  </si>
  <si>
    <t>22BHCGM01</t>
  </si>
  <si>
    <t>Contract Management System</t>
  </si>
  <si>
    <t>22FRF32231</t>
  </si>
  <si>
    <t>This project will move DPBH to an electric contract management system that optimized the processes for all stakeholders.</t>
  </si>
  <si>
    <t xml:space="preserve">The electronic contract management system will optimize the processes for all stakeholders. It will allow the division to improve the contract process to increase overall effectiveness and efficiency. </t>
  </si>
  <si>
    <t>Implementation of a new electronic contracting management system will allow for efficient processing of all the new contracts needed for implementing the approved COVID initiatives.</t>
  </si>
  <si>
    <t>On going cost for the system will be Indirect cost and Cost Allocation.</t>
  </si>
  <si>
    <t>22BHSTF01b ($0 REPORTED ON GFO WORKBOOK)</t>
  </si>
  <si>
    <t>Fiscal Staff - FY24</t>
  </si>
  <si>
    <t>23FRF32231</t>
  </si>
  <si>
    <t>This project will fund three interim full-time positions and one part-time contractor to assist with ARPA fiscal activity and grant reporting.</t>
  </si>
  <si>
    <t>DPBH has received extraordinary amounts of federal COVID grant funds since the beginning of 2020. These positions will provide additional support to ensure implementation of all awards will not be delayed in SFY24.</t>
  </si>
  <si>
    <t>See Column R.</t>
  </si>
  <si>
    <t>This entry is not a valid NOA.  There is one NOA for this project (22BHSTF01) all reporting for this project will be in the row that contains project 22BHSTF01a.</t>
  </si>
  <si>
    <t>Indirect cost and Cost Allocation.</t>
  </si>
  <si>
    <t>22BHSTF01d ($0 REPORTED ON GFO WORKBOOK)</t>
  </si>
  <si>
    <t>Fiscal Staff - FY26</t>
  </si>
  <si>
    <t>DPBH has received extraordinary amounts of federal COVID grant funds since the beginning of 2020. These positions will provide additional support to ensure implementation of all awards will not be delayed in SFY26.</t>
  </si>
  <si>
    <t>22BHSTF01a</t>
  </si>
  <si>
    <t>DPBH STAFFING for ARPA Reporting-SFY23</t>
  </si>
  <si>
    <t>Three interim full-time positions and one part-time contractor to assist with ARPA Fiscal Activity and Grant Reporting.</t>
  </si>
  <si>
    <t>DPBH has received extraordinary amounts of federal COVID grant funds since the beginning of 2020. These positions  provided additional support to ensure implementation of all awards will not be delayed in SFY23.</t>
  </si>
  <si>
    <t>22BHSTF01c</t>
  </si>
  <si>
    <t>Fiscal Staff - FY25</t>
  </si>
  <si>
    <t>DPBH has received extraordinary amounts of federal COVID grant funds since the beginning of 2020. These positions will provide additional support to ensure implementation of all awards will not be delayed in SFY25.</t>
  </si>
  <si>
    <t>24INTFP01</t>
  </si>
  <si>
    <t>10 intermittent fiscal staff in L01 -  E226</t>
  </si>
  <si>
    <t>This project will support 10 intermittent State FTEs to relieve the administrative burden of increased workloads of state, federal, and ARPA grant and fiscal management activities.</t>
  </si>
  <si>
    <t xml:space="preserve">These positions will provide adequate response-ready public health workforce implementation and will assist the division with redistributing DPBH’s workload due to COVID-19. </t>
  </si>
  <si>
    <t>The project ends June 30, 2026. Any remaining funds will be transferred to the DPBH Jail Based program and the 22BHSTF01 project.</t>
  </si>
  <si>
    <t>23RHSCC01</t>
  </si>
  <si>
    <t xml:space="preserve">Comprehensive Reproductive Health Services </t>
  </si>
  <si>
    <t>23FRF32241</t>
  </si>
  <si>
    <t xml:space="preserve">This project will support reproductive health services for Community Health Services, Carson City Health and Human Services, Northern Nevada Health District and Central Nevada Health District. </t>
  </si>
  <si>
    <t xml:space="preserve">Supports family planning  activities not fully funded by Title X in rural Nevada, Washoe County and Carson City. </t>
  </si>
  <si>
    <t>Title X award is partially funded at 40% of current grant period (4/1/24 -3/31/25).</t>
  </si>
  <si>
    <t>NO</t>
  </si>
  <si>
    <t>23HCWSS02</t>
  </si>
  <si>
    <t>Health Care Workforce Scholarships and Staff Support</t>
  </si>
  <si>
    <t>24FRF32341</t>
  </si>
  <si>
    <t>This project's funds will be aimed at building and developing Nevada's health care workforce by providing educational and training opportunities. Through the collaboration with workforce development partners these newly trained professionals will be able to fill a variety of workforce gaps throughout Nevada and improve quality care for vulnerable populations. </t>
  </si>
  <si>
    <t>Health care workforce scholarships to include community health workers, clinical rotations, doulas, medical assistants, J-1 Visa and other related training.</t>
  </si>
  <si>
    <t>As of May 2025, there have been 200 scholarships awarded.</t>
  </si>
  <si>
    <t>23IBCLC02</t>
  </si>
  <si>
    <t xml:space="preserve">International Board Certified Lactation Consultants </t>
  </si>
  <si>
    <t>24FRF32342</t>
  </si>
  <si>
    <t>This project's funding will be used to train lactation consultants.</t>
  </si>
  <si>
    <t>Health Care Workforce Pipeline Grant for Lactation Consultants was created to collaborate with local educational, community-based, and non-profit partners to recruit, upskill and strengthen Nevada’s health workforce.</t>
  </si>
  <si>
    <t>See above.</t>
  </si>
  <si>
    <t>Birth Collaborative in Las Vegas and the University of Nevada, Las Vegas, have received subawards. A total of $380,103 has been allocated towards training scholarships. As of May 2025, there have been 19 scholarships awarded, and 34 awardees are still in progress of completing their courses.</t>
  </si>
  <si>
    <t>22LCSFD01</t>
  </si>
  <si>
    <t>Lake's Crossing - food service</t>
  </si>
  <si>
    <t>22FRF36451</t>
  </si>
  <si>
    <t>This project provided funding as it relates to food expenditures for the clients at Lake's Crossing Center.</t>
  </si>
  <si>
    <t>Complete</t>
  </si>
  <si>
    <t>Washoe</t>
  </si>
  <si>
    <t>23LCCMS01</t>
  </si>
  <si>
    <t>Lake's Crossing - camera system</t>
  </si>
  <si>
    <t>23FRF36451</t>
  </si>
  <si>
    <t>This project upgrades and expands the existing Lake's Crossing camera control system along with structural changes to aid in the security and increased observation of high acuity clients.</t>
  </si>
  <si>
    <t>The Video Surveillance and Access Control project is nearing completion, with Closeout Documents planned for May 2, 2025. However, the Final Inspection is to be determined as there are multiple items that have been delayed or needed correction or troubleshooting from the initial Punch Walk. The Test and Balance was completed on 4/1/2025 and received verbal approval, still awaiting the report. HMI/PCL completion is still being worked on with project completion unknown at this time. Troubleshooting for the Duress system is in progress to determine a cause of malfunction/defective receivers. Light fixtures for the Chart Room are awaiting shipment, which was delayed, and we are awaiting shipping confirmation for 3 cameras to be installed in identified blind spots. Workstations for the Lieutenant and Nursing office are pending delivery with no confirmed received date.</t>
  </si>
  <si>
    <t>One Time Project</t>
  </si>
  <si>
    <t>24FRPOS01</t>
  </si>
  <si>
    <t>Forensic Professional Services - Lake Crossing</t>
  </si>
  <si>
    <t>24FRF36452</t>
  </si>
  <si>
    <t xml:space="preserve">Recruitment efforts continue to fill the specialized clinical positions required for forensic services. As of April 2025, 18 clinical staff have been hired and are active in client treatment and restoration. Contract professional staff will continue to expand forensic services as funding allows.  </t>
  </si>
  <si>
    <t>23CYRMC01</t>
  </si>
  <si>
    <t>DPBH - Children and Youth Rural Mobile Crisis Response Team</t>
  </si>
  <si>
    <t>23FRF36481</t>
  </si>
  <si>
    <t xml:space="preserve">Currently there are no in-person crisis response services in Elko County.  This pilot program provides an opportunity to build crisis services that would qualify for the Medicaid Expansion reimbursement rate and in turn help build more robust response and stabilization services to help combat the  pressure on the behavioral health system. </t>
  </si>
  <si>
    <t xml:space="preserve">The entire population of children and youth in Nevada were exposed to behavioral stressors due to the pandemic.  Due to this increased pressure on our health care and behavioral health systems, more children, youth, families and adults had unmet behavioral health needs across Nevada’s communities and youth were lingering in emergency departments for long periods of time due to overcrowded higher levels of care.  There was also increase pressures within child welfare and juvenile justice systems.  Mobile Crisis funds are helping youth and families to access to 24/7 mental health crisis care. </t>
  </si>
  <si>
    <t xml:space="preserve">This project is fully underway and providing in-person crisis services in Elko County. This project did not receive additional funds to allow it to continue.  This project will cease once the funds are expended or when the 4 FTE contractors leave for new employment.  The funds will allow the program to continue until approximately June 13.  If the four contractors leave before then, there is a chance funds will need to be given back because these funds can only be spent on provider contracts.  Funds are fully obligated, no additional contracts in process or anticipated. </t>
  </si>
  <si>
    <t>Medicaid will be billed when possible for the crisis services and a budget enhancement will be requested.</t>
  </si>
  <si>
    <t>23LRHA01a</t>
  </si>
  <si>
    <t xml:space="preserve">Local &amp; Regional Authorities Washoe </t>
  </si>
  <si>
    <t>3223/34</t>
  </si>
  <si>
    <t>23FRF32232</t>
  </si>
  <si>
    <t>This funding is subawarded to Northern Nevada Public Health for design and construction of a Tuberculosis Clinic</t>
  </si>
  <si>
    <t>Funding will support the design and construction of a Tuberculosis Clinic, and other Public Health or Community and Clinical Health Services offices to serve the residents of Washoe County.</t>
  </si>
  <si>
    <t>These investments will better allow each public health agency to continue to support the COVID response and recovery and position themselves to be better equipped to handle other public health needs in the coming years.</t>
  </si>
  <si>
    <t xml:space="preserve">Construction has begun (groundwork including sewer and water connection, stormwater drainage and removal of pavement) on the TB Clinic, which is being built on West Hills in Reno.  Project is currently on time and on budget. Certification of operation is set for January 2026 with patients being served by February 2026. </t>
  </si>
  <si>
    <t>23LRHA01b</t>
  </si>
  <si>
    <t xml:space="preserve">Local &amp; Regional Authorities Carson </t>
  </si>
  <si>
    <t>This project's funding is awarded to Carson City Health and Human Services (CCHHS) to increase staff capacity and address growing community health needs.</t>
  </si>
  <si>
    <t>Enhance CCHHS public health workforce infrastructure b hiring personnel to perform duties needed to increase public health services to the residents served by CCHHS.</t>
  </si>
  <si>
    <t>CCHHS has used project funds to fill Fiscal Analyst, Mosquito Abatement, and Public Health Nurse positions. The Data Analyst and Assessment Coordinator has been retained. As of April 2025, all positions have been retained except environmental specialist. All openings have been shared on NVhealthforce.org to help fill those positions.</t>
  </si>
  <si>
    <t>23LRHA01c</t>
  </si>
  <si>
    <t>Local &amp; Regional Authorities Churchill</t>
  </si>
  <si>
    <t>Central Nevada Health District formation and satellite public health laboratory</t>
  </si>
  <si>
    <t>Central Nevada Health District will facilitate construction activities to establish a new building that will house a satellite public health laboratory, and provide public health services to residents in central Nevada.</t>
  </si>
  <si>
    <t xml:space="preserve">As of April 2025, a request has been submitted to GFO to update the project scope and proceed with the colocation of CNHD and the public health laboratory, and to ensure relocation of Churchill County Social Services from the site proposed for the CNHD/lab by acquiring buildings in another location. </t>
  </si>
  <si>
    <t>23LRHA01d</t>
  </si>
  <si>
    <t>Local &amp; Regional Authorities SNHD</t>
  </si>
  <si>
    <t>Southern Nevada Health District staff and operations reimbursement</t>
  </si>
  <si>
    <t>This funding will be used to support 12 months of staff salary and fringe to offer environmental health services in Clark County.</t>
  </si>
  <si>
    <t>22ELYCP01</t>
  </si>
  <si>
    <t>CRG - Ely Co-op Magic Carpet Preschool</t>
  </si>
  <si>
    <t xml:space="preserve">The ARPA award will be sub-awarded to the Ely Co-Op Preschool (aka, Magic Carpet Preschool) to perform all work/services. Magic Carpet Preschool is the only licensed preschool in the area that is not income based and meets a critical need for local families. This funding will facilitate the provision of child care services to up to 48 students (increase from 35) ages 2.5 - 6 years, from all ethnic backgrounds, including the Ely Shoshone tribe. </t>
  </si>
  <si>
    <t xml:space="preserve">This request supports the Governor's objective of improving child care across Nevada. </t>
  </si>
  <si>
    <t>Child Care</t>
  </si>
  <si>
    <t>23CHDIF01</t>
  </si>
  <si>
    <t>Childcare Infrastructure Grants</t>
  </si>
  <si>
    <t>22FRF32671</t>
  </si>
  <si>
    <t>The purpose of this project is to assist child care providers with the ability to expand their capacity to serve additional children by expanding existing facilities or building new facilities.</t>
  </si>
  <si>
    <t>There is only enough capacity in Nevada to serve approximately 14% of the estimated number of children needing care. Approximately 342,995 of the estimated 390,155 children in Nevada who are 11 years old or younger may be in need of child care. There are only 47,160 seats estimated available today.</t>
  </si>
  <si>
    <t>Child Care emerged as one of the top priorities for Nevadans during recovery from the public health emergency (PHE) in order to get people back to work.</t>
  </si>
  <si>
    <t xml:space="preserve">As of April 2025, five (5) facilities are completed projects and currently open and serving children; 13 facilities are ongoing projects at various levels of completion;
one (1) project was terminated with funds were re-allocated to Children’s Learn and Play. </t>
  </si>
  <si>
    <t>23CHDSB01</t>
  </si>
  <si>
    <t>Childcare Subsidy Grants</t>
  </si>
  <si>
    <t>The proposal is to use this $50 million so all subsidy-eligible households can receive 100% subsidy coverage with the ARPA FRF paying for the required co-pay portion for each eligible family. Child care subsidy is available for eligible children ages 0-12 years. Funds will be sub-awarded to Nevada's Child Care Resource and Referral agencies currently performing eligibility and subsidy application processing on behalf of the state. The average estimated subsidized cost of child care is $13,931 per year per child for full-time care and that does not include the amount a household is required to pay as a copayment (averaged at $5,066 per year per child). Estimates are based on an average household of four (4) people with an annual income of $72,378. Current average caseload for the subsidy program is 6,480 children.</t>
  </si>
  <si>
    <t xml:space="preserve">DWSS was able to provide co-payments to approximately 14,500 children for 13 months. </t>
  </si>
  <si>
    <t xml:space="preserve">This project is connected to families receiving federal child care subsidy assistance, which has an income limit for those families making up to 85% of the state's median income for their household size. This ensures the funds are being used to serve those most impacted by the pandemic and ongoing economic recovery which is stalled due to the need for more child care. </t>
  </si>
  <si>
    <t>22MEDEX01</t>
  </si>
  <si>
    <t>Medicaid Eligibility System Modifications (ex-parte)</t>
  </si>
  <si>
    <t>22FRF32281</t>
  </si>
  <si>
    <t>The project includes modifying the current Medicaid renewal process to support ex-part renewal, also known as auto renewal, passive renewal or administrative renewal.</t>
  </si>
  <si>
    <t>23ACNVM01</t>
  </si>
  <si>
    <t>Access Nevada Modernization - No Wrong Door</t>
  </si>
  <si>
    <t>23FRF32284</t>
  </si>
  <si>
    <t>This project provides modernization to the legacy Access Nevada to a cloud-based solution that will result in a single web portal platform known as the No Wrong Door (NWD) solution. The NWD provides the DHHS clientele with a single web portal to apply for assistance across all five divisions, as well as view case information and self-report changes. The portal, housed within DWSS, will allow an individual to complete a short pre-screener questionnaire to discover what services may be available, apply for specific programs and automatically route the applicant’s case information to the appropriate DHHS agency office(s).</t>
  </si>
  <si>
    <t>Project is 75% complete. Activities included a completed communication plan and go-live on Feb. 23, 2025. The current project deliverable schedule with Deloitte runs through June 30, 2026, to further stabilize the Access Nevada system. To improve services for clients with limited English proficiency, the addition of six languages is being considered.</t>
  </si>
  <si>
    <t>Completed less than 75%</t>
  </si>
  <si>
    <t>One Time Funding for Development and Maintenance &amp; Operation is a Budget Request</t>
  </si>
  <si>
    <t>23NOMAD01a</t>
  </si>
  <si>
    <t>NOMADS UPDATE - CONTRACTS - MAINFRAME MODERNIZATION</t>
  </si>
  <si>
    <t>23FRF32281</t>
  </si>
  <si>
    <t>NOMADS application currently has many components on the State's mainframe hardware. This project will remove the remaining 25-year-old NOMADS components from the mainframe and place them on DWSS's modern platforms using modern program languages. This modernization will allow DWSS to be more agile and responsive to the critical needs of our customers.</t>
  </si>
  <si>
    <t>Project deliverable schedule for Deloitte of May 10, 2023, to June 22, 2026, is on track. Defects in Phase I Maintenance and Operation are being resolved.  Phase II is in development. All planned expenses related to this contract our on track. Planned production is scheduled for January 2026. Decommissioning of NOMADS scheduled to be addressed June 2026.</t>
  </si>
  <si>
    <t>Completed less than 58%</t>
  </si>
  <si>
    <t>23YTHHM01</t>
  </si>
  <si>
    <t>YOUTH HOMELESSNESS STUDY</t>
  </si>
  <si>
    <t>23FRF32331</t>
  </si>
  <si>
    <t xml:space="preserve">The funding request for $500,000 ($250,000 per year for two years) will cover the cost of researchers, incentives and research tools to conduct a statewide one-time study on youth homelessness, which will explicitly include LGBTQ+ youth. The study will be designed to understand the prevalence, characteristics and intervention needs of youth experiencing homelessness, the current system supports and financial structure, and the system gaps that need to be addressed to better serve Nevada’s youth. </t>
  </si>
  <si>
    <t>The Homeless Youth Study project has completed key activities timely and in accordance with the scope of work. The project is on track to be completed by the end of the new service agreement (06/30/2025). The core team, steering committee, study design committee have been established and are meeting on a regular basis. A website was developed and launched. The environmental scan and study design has been finalized. The initial site visits and Preliminary Statewide System Map with county profiles have been completed. The final data collection will took place in early 2025 and the draft of the final report was submitted in March 2025 for review.</t>
  </si>
  <si>
    <t>22CCCWF01</t>
  </si>
  <si>
    <t>Clark County Child Welfare Higher Level of Care</t>
  </si>
  <si>
    <t>22FRF31421</t>
  </si>
  <si>
    <t>Funds six (6) beds in an intermediate care facility for children and youth with autism or intellectual and developmental delays who have behavioral needs such that they cannot be safely cared for in the community.</t>
  </si>
  <si>
    <t xml:space="preserve">Clark County was awarded these funds and has provided residential services for children and youth in need of behavioral and mental health services. </t>
  </si>
  <si>
    <t>As a result of reduction or elimination of in-home services and other community based services due to the pandemic, many children are now experiencing significant behavioral health issues, which has created an increased need for residential services tailored specifically to this population.</t>
  </si>
  <si>
    <t>ok</t>
  </si>
  <si>
    <t>22DSWHD01</t>
  </si>
  <si>
    <t>DCFS - Desert Willow Hardening</t>
  </si>
  <si>
    <t>22FRF36462</t>
  </si>
  <si>
    <t>Hardening of one 12-bed unit at the facility to provide a secure space within the facility.  Public Works awarded a contract to Builders United to complete this project, with a projected completion date of February 2025.   SPWD Contract No. 116062</t>
  </si>
  <si>
    <t xml:space="preserve">The hardening of the facility will provide a space within the facility capable of providing secure mental health treatment as these youth are often rejected at privately-operated facilities and can languish in emergency rooms or juvenile detention. </t>
  </si>
  <si>
    <t>Throughout the COVID-19 pandemic the facility has experienced an increase of referrals for youth experiencing mental health needs coupled with highly aggressive behavior.</t>
  </si>
  <si>
    <t>Per Public Works the contract with Builders United is being terminated.  Public Works is moving forward with  the anti-ligature project as well as where each portion of the anti-ligature and HVAC replacement project for a new contract to finish the project. In Area A of Desert Willow, the classroom work  has been completed for both anti-ligature and HVAC,  In area E of the building the HVAC work has been completed.   In area D - no work has started.  In Area C restrooms have been demolished.  Area B needs a few fan coils installed.</t>
  </si>
  <si>
    <t>One Time Funding - Balance may be used for change orders</t>
  </si>
  <si>
    <t>22DSWHD01a</t>
  </si>
  <si>
    <t>23FRF36463</t>
  </si>
  <si>
    <t>See above  - 22DSWHD01 and` 22DSWHD01a combined funding for the same project.</t>
  </si>
  <si>
    <t>Project end date from June 30, 2025, to Dec. 31, 2026.</t>
  </si>
  <si>
    <t>22MBCRS01a</t>
  </si>
  <si>
    <t>DCFS - CHILDREN'S MENTAL HEALTH MOBILE CRISIS RESPONSE (Surge Capacity) - NNCAS</t>
  </si>
  <si>
    <t>22FRF32811</t>
  </si>
  <si>
    <t xml:space="preserve">This project will fund mobile crisis expansion due to sustained growth in service utilization, partly with increase in distress, isolation, and hardship related to COVID-19.  </t>
  </si>
  <si>
    <t>Mobile Crisis dispatches clinicians and caseworkers to assess for safety in community settings of family choice and provides short term stabilization to mediate community availability to start long-term therapeutic services.</t>
  </si>
  <si>
    <t>Mobile Crisis screens during assessment for negative impact on family from COVID and the added positions allow for increased response to community and supports proportional increase in demand for services from community families and stakeholders.</t>
  </si>
  <si>
    <t>Project completed. All funds fully expended.</t>
  </si>
  <si>
    <t>22MBCRS01b</t>
  </si>
  <si>
    <t>SB 461 - CHILDREN'S MENTAL HEALTH MOBILE CRISIS RESPONSE (Surge Capacity) - SNCAS</t>
  </si>
  <si>
    <t>22FRF36461</t>
  </si>
  <si>
    <t xml:space="preserve">Fund mobile crisis expansion due to sustained growth in service utilization, partly with increase in distress, isolation, and hardship related to COVID-19.  </t>
  </si>
  <si>
    <t>22MBCRS01c</t>
  </si>
  <si>
    <t>23FRF32811</t>
  </si>
  <si>
    <t>22MBCRS01d</t>
  </si>
  <si>
    <t>DCFS -  CHILDREN'S MENTAL HEALTH MOBILE CRISIS RESPONSE (Surge Capacity) - SNCAS</t>
  </si>
  <si>
    <t>23FRF36461</t>
  </si>
  <si>
    <t>22SFNST01</t>
  </si>
  <si>
    <t>Safe Nest - Temporary Assistance for Domestic Crisis  under the Community Recovery Grant</t>
  </si>
  <si>
    <t>22FRF31452</t>
  </si>
  <si>
    <t xml:space="preserve">This project provides funding for therapy services to children and adult victims. Funds were awarded to Safe Nest, a shelter in Las Vegas, which has successfully provided therapy and counseling to 1,718 child and adult victims of domestic violence. 
</t>
  </si>
  <si>
    <t>This addition will allow the subawardee to hire contract therapist hours needed to clear the waitlist for victim and children counseling, allowing the provision of an additional 1,600-1,800 counseling sessions in 2022.</t>
  </si>
  <si>
    <t>22SHDTR01</t>
  </si>
  <si>
    <t>Shade Tree - Community Recovery Grant</t>
  </si>
  <si>
    <t>22FRF31454</t>
  </si>
  <si>
    <t xml:space="preserve">This project aims to fund front line domestic violence crisis response team, provide special dietary needs, and create an infectious diseases preparedness plan. The awardee, Shade Tree, has provided advocacy and services to 901 victims/survivors of domestic violence in Southern Nevada. In addition, they have improved the health of 1,138 victims/survivors and created 337 safety plans.  </t>
  </si>
  <si>
    <t>During the COVID pandemic, Nevada saw a rise in domestic violence.</t>
  </si>
  <si>
    <t>22SONSM01</t>
  </si>
  <si>
    <t>Community Recovery Grant</t>
  </si>
  <si>
    <t>22FRF31453</t>
  </si>
  <si>
    <t xml:space="preserve">The COVID-19 pandemic has been shown to have had negative impacts on the mental health of students in Nevada. SONV intends to support the state in addressing the critical mental health issues. </t>
  </si>
  <si>
    <t>Project has been extended to June 30, 2025.</t>
  </si>
  <si>
    <t>22VOCSP01</t>
  </si>
  <si>
    <t>VICTIMS OF CRIME SERVICE PROVIDERS  - Amendment #1 extend from date 12/31//2024 to 6/30/2025</t>
  </si>
  <si>
    <t>22FRF31451</t>
  </si>
  <si>
    <t xml:space="preserve">This project will continue to provide support to victims of crime in Nevada. Funds have been awarded to 11 victims of crime service agencies to provide advocacy, case management and other services for victims of crime..  </t>
  </si>
  <si>
    <t xml:space="preserve">VOCA grant funding has decreased significantly over the last three years.  This funding will maintain victim services across the state. </t>
  </si>
  <si>
    <t xml:space="preserve">Project has been extended to June 30, 2025. </t>
  </si>
  <si>
    <t>22VOCVP01</t>
  </si>
  <si>
    <t>Victims of Crime - victim payments</t>
  </si>
  <si>
    <t>22FRF48951</t>
  </si>
  <si>
    <t xml:space="preserve">Sub-awards to Victims of Crime Program to provide level funding to victims of crime.  </t>
  </si>
  <si>
    <t>23CAPWC01</t>
  </si>
  <si>
    <t>Child Assault Prevention of Washoe County - Elementary Child Abuse Awareness Workshop - Community Recovery Grant</t>
  </si>
  <si>
    <t>23FRF31452</t>
  </si>
  <si>
    <t xml:space="preserve">Expansion of the child self-protection workshops into Elko and Mineral County schools. </t>
  </si>
  <si>
    <t>The workshop teaches children how to recognize and get help for abusive situations they may encounter with bullies, strangers, internet predators, social media, and issues with safe/unsafe/ secret touching.</t>
  </si>
  <si>
    <t>CPS has reported an increase in reported abuse by 20% since pre-pandemic and expect to see this increase significantly over the next few years.</t>
  </si>
  <si>
    <t xml:space="preserve"> On target to fully expend the award by Sept. 30, 2025. CAP was able to hire and train three (3) new workshop facilitators with ARPA funding.  They were also able to reach out more to our rural counties and present workshops in Storey, Lyon and Churchill Counties. During 2023-2024 we were able to present 195 workshops to 3,666 students.</t>
  </si>
  <si>
    <t>23CBYFS01</t>
  </si>
  <si>
    <t>Community Based, Youth Focused Beh. Health Services</t>
  </si>
  <si>
    <t>23FR314520</t>
  </si>
  <si>
    <t>This project will provide subgrants to mental health providers to provide social emotional learning and counselling services statewide. Funding has been awarded to five (5) agencies statewide to provide training and mental health services to youth.</t>
  </si>
  <si>
    <t>The purpose of these subgrants is to expand prevention services for Nevada’s youth and increase access to behavioral health care by building out service delivery mechanisms in places where children and families go every day.</t>
  </si>
  <si>
    <t>The current behavioral/mental health workforce shortage crisis exacerbates the potential negative outcomes of a behavioral health need or crisis. This includes negative economic consequences, such as increased spending on behavioral health care, expensive 24-hour care interventions, costs of emergency department care, increased use of the child welfare and juvenile justice systems.</t>
  </si>
  <si>
    <t xml:space="preserve">On target to fully expend the award by extended completion date of June 30, 2025. </t>
  </si>
  <si>
    <t>23CFPSP01</t>
  </si>
  <si>
    <t>Certified Family Peer Support Provider/Supervisor Workforce</t>
  </si>
  <si>
    <t>23FR314514</t>
  </si>
  <si>
    <t>This project has been subgranted to Nevada PEP to develop a training and certification process in Nevada for Family Peer Support Providers to increase the professional workforce by advancing core competencies.</t>
  </si>
  <si>
    <t>A sustainable model will include: an application and family run organization enrollment process, credentialing manual; and standardized training curriculum that incorporates nationally recognized core competencies, skill sets and technical assistance. There is a critical need to develop an efficient training and certification program unique to Nevada to increase the certified family peer support provider and supervisor workforce.</t>
  </si>
  <si>
    <t>Project extended to June 30, 2025.</t>
  </si>
  <si>
    <t>23CHINA01</t>
  </si>
  <si>
    <t>China Springs Youth Camp - System of Care Services</t>
  </si>
  <si>
    <t>23FRF31471</t>
  </si>
  <si>
    <t xml:space="preserve">Services to curb substance use and mental health issues to reduce recidivism into the juvenile justice system. </t>
  </si>
  <si>
    <t>23CLKCW01</t>
  </si>
  <si>
    <t>Clark County Child Welfare</t>
  </si>
  <si>
    <t>23FR314510</t>
  </si>
  <si>
    <t>This project has been awarded to Clark County Clinical Division to will include community-based assessments and treatment options to promote healthy development, preserve the family unit, continue engagement in education, and maintain the highest levels of funding.</t>
  </si>
  <si>
    <t xml:space="preserve">Clark County Clinical Division with a service array designed to meet youth behavioral, mental, health, intellectual, and developmental needs. </t>
  </si>
  <si>
    <t xml:space="preserve">Project extended to June 30, 2026, due to delays in filling positions and delays in finalizing the contract with a consultant.  Starting July 1, 2025 Clark County will begin hiring the second phase positions to add the direct clinical staff, peer support and secure a medical transportation contract. </t>
  </si>
  <si>
    <t>23CSHWP01</t>
  </si>
  <si>
    <t>Community School Health and Wellness Pilot Program</t>
  </si>
  <si>
    <t>23FR314515</t>
  </si>
  <si>
    <t>This project seeks to establish a health and wellness-focused  pilot community schools model on four campuses. Awarded to UNLV School of Medicine, the project will provide full-time coordination of community schools activities on the school campuses, staff to implement out-of-school and integrated student support programs to address the health and wellness outcomes of children and families.</t>
  </si>
  <si>
    <t>Identify effective tiered intensification processes needed to develop health and wellness activities on a school campus; and effective interventions and programs to address children and family health and well-being variables.</t>
  </si>
  <si>
    <t>Final RFR sent to ARPA team on 4/14/25. UNLV School of Medicine requested an extension on the performance period end date from 6/30/2024 to 12/31/2024, and was approved, due to delays in fully hiring for the fall semester, an extension would allow UNLV to continue to keep program specialists in place to implement programming designed at the beginning for the academic year through the fall semester. UNLV estimates it would spend approximately $144,711.45 to keep the full-time coordinators in place through the fall semester and an additional $37,500-$50,000 for hourly workers (reflected in additional programmatic expenditures). This would allow UNLV  to implement back-to-school immunization fairs, health and wellness programming for parents and families, and transition SEL supports over to the school that were planned in the first part of the 2023-2024 academic year to ensure effective programs are continued. The additional monies would be spent on materials and supplies needed for effective program implementation in the 2024-2025 academic year.</t>
  </si>
  <si>
    <t>23DAYTP01a</t>
  </si>
  <si>
    <t>Day Treatment Program</t>
  </si>
  <si>
    <t>23FRF32814</t>
  </si>
  <si>
    <t>Day Treatment program for children 3-6 years old in Northern Nevada who are experiencing challenging behaviors,  without any options for the treatment of the child's individualized needs in existing community childcare/early learning programs.</t>
  </si>
  <si>
    <t>This program will provide EC Day Treatment services regardless of ability to pay and insured status. This EC  Day Treatment is unique and offers an unduplicated community-based program of treatment for children 3-6 years.</t>
  </si>
  <si>
    <t>Balance is for the playground equipment project.  The contract has been awarded for this project and will be completed by 3/31/25.</t>
  </si>
  <si>
    <t>General Fund &amp; Medicaid starting 7/1/24 - SFY 25</t>
  </si>
  <si>
    <t>$325,000  for playground equipment project to be completed in SFY 2025</t>
  </si>
  <si>
    <t>23DAYTP01b</t>
  </si>
  <si>
    <t>Day Treatment Program - FY24 - (PCN 2030-2041 - 12 FTE, associated cost &amp; playground equipment). Program funded with GF &amp; Medicaid Reimb starting with SFY 2025</t>
  </si>
  <si>
    <t>L01 SFY 24</t>
  </si>
  <si>
    <t>See above</t>
  </si>
  <si>
    <t>This program will be funded primarily with General Fund Appropriations and a small amount with Medicaid reimbursements as approved in L01 starting with SFY 2025.  Balance will be used in SFY 2025</t>
  </si>
  <si>
    <t>Addl $22,497.00 for playground equipment project to be completed in SFY 2025 in addition to $325,000 above for a grand of $347,497.  Bal of $24,821will be used to offset GF Approp, which will be placed in reserves.  See wp 25FRF32811 to balance forward authority remaining for both 23DAYTP01a&amp;b</t>
  </si>
  <si>
    <t>23EDYHS01</t>
  </si>
  <si>
    <t>DCFS - Eddy House - Community Recovering Grant</t>
  </si>
  <si>
    <t>23FRF31453</t>
  </si>
  <si>
    <t xml:space="preserve">Eddy House will expand programs which will intervene and break the cycle of homelessness and poverty for these youth. Effective intervention and targeted services can prevent homeless youth from becoming chronically homeless adults. </t>
  </si>
  <si>
    <t>Eddy House proposes a Femme, Trans, Women, &amp; Non-Binary Transitional Living Home (FTWTL Home) for approximately six to ten individuals for stays of up to two years to empower women and other vulnerable individuals to achieve independence through a supported residential program</t>
  </si>
  <si>
    <t>The global pandemic amplified the already poor graduation rates, low employment rates, high acuity of mental health needs, high substance abuse, and widespread abuse our Transitional Aged Youth face every day.</t>
  </si>
  <si>
    <t xml:space="preserve">On target to fully expend the award by Sept, 30, 2025. The support provided through ARPA has enabled Eddy House to expand and enhance its services and programs, which has led to improved outcomes for homeless and at-risk youth. Case management for these individuals has improved through increased follow-up and check-in meetings with clients, as well as more thorough exit planning for individuals ready for independent housing. In particular, the residential programs have adjusted the expectations to increase accountability and structure. </t>
  </si>
  <si>
    <t>23EMGCS02</t>
  </si>
  <si>
    <t>Emergency Funding for Child and Family Services</t>
  </si>
  <si>
    <t>23FR314521</t>
  </si>
  <si>
    <t>Crisis triage, residential treatment, inpatient care services, and other currently non-billable services to youth  to ensure medically necessary treatment can be provided to those youth who continue to experience behavioral health crisis.</t>
  </si>
  <si>
    <t xml:space="preserve">Alleviate the urgent need for youth mental health services in Nevada resulting from COVID-19. As reported by the CDC, youth experiencing mental health issues may struggle with school and grades, decision making, and their health. </t>
  </si>
  <si>
    <t>Funding has been obligated to five (5) different projects. Contracts are in the process of being amended to add additional funding for acute psychiatric hospitalization care. Project has been extended to June 30, 2025.</t>
  </si>
  <si>
    <t>23EMPLR01</t>
  </si>
  <si>
    <t>DCFS - Emergency and Planned Respite -  SFY 23</t>
  </si>
  <si>
    <t xml:space="preserve">23FRF31457 </t>
  </si>
  <si>
    <t>This project funds respite care service and support to Nevada families. Respite will allow overstretched and stressed caregivers to take a break from caring for youth with high-intensity needs. Awardee, Magellan, is working with DCFS on outreach and referrals.</t>
  </si>
  <si>
    <t xml:space="preserve">Respite care service and support to Nevada families. Respite will allow overstretched and stressed caregivers to take a break from caring for youth with high-intensity needs. </t>
  </si>
  <si>
    <t>SFY 2023 Allocation - 100% De-obligated per amendment #2</t>
  </si>
  <si>
    <t>23EMPLR02</t>
  </si>
  <si>
    <t>DCFS - Emergency and Planned Respite -  SFY 24</t>
  </si>
  <si>
    <t xml:space="preserve"> L01 SFY 24</t>
  </si>
  <si>
    <t xml:space="preserve">Respite care service and support to Nevada families. Respite will allow overstretched and stressed caregivers to take a break from caring for youth with high intensity needs. </t>
  </si>
  <si>
    <t xml:space="preserve">Contract with Magellan has been fully implemented. Services went live on 02/01/2024. Magellan and DCFS staff are actively working on outreach and referrals. </t>
  </si>
  <si>
    <t>23FTFPS01</t>
  </si>
  <si>
    <t>DCFS - Family to Family Peer Support</t>
  </si>
  <si>
    <t xml:space="preserve">23FRF31456 plus L01 SFY 24 &amp; </t>
  </si>
  <si>
    <t>The Family Peer Support model provides intentional support with specific focus on the parent/primary caregiver of the child. Services are designed to improve the family's capacity to care for or resolve the child/youth's emotional or behavioral needs, by providing a unique set of services that includes emotional, informational, instruction, and advocacy support.</t>
  </si>
  <si>
    <t>Services are designed to improve the family's capacity to care for or resolve the child/youth's emotional or behavioral needs, by providing a unique set of services that includes emotional, informational, instruction, and advocacy support.</t>
  </si>
  <si>
    <t xml:space="preserve"> $8.0 million for the development phase, hardware, software, and licensing. DCFS is requesting a solicitation exemption and going sole source with an existing State contracted vendor (Deloitte) that has implemented child welfare systems for numerous other states on several different vendor solutions and is not participating in the planning phases of the project. The solution will be cloud based and DCFS will maintain the software licenses. Maintaining the licenses provides the greatest flexibility in operations management options. </t>
  </si>
  <si>
    <t>23IFIHS01</t>
  </si>
  <si>
    <r>
      <rPr>
        <sz val="11"/>
        <color rgb="FF000000"/>
        <rFont val="Calibri"/>
        <family val="2"/>
        <scheme val="minor"/>
      </rPr>
      <t xml:space="preserve">DCFS - Intensive Family In Home Services - </t>
    </r>
    <r>
      <rPr>
        <b/>
        <sz val="11"/>
        <color rgb="FF000000"/>
        <rFont val="Calibri"/>
        <family val="2"/>
        <scheme val="minor"/>
      </rPr>
      <t>Extension approved thru 12/31/26 for</t>
    </r>
    <r>
      <rPr>
        <sz val="11"/>
        <color rgb="FF000000"/>
        <rFont val="Calibri"/>
        <family val="2"/>
        <scheme val="minor"/>
      </rPr>
      <t xml:space="preserve"> </t>
    </r>
    <r>
      <rPr>
        <b/>
        <sz val="11"/>
        <color rgb="FF000000"/>
        <rFont val="Calibri"/>
        <family val="2"/>
        <scheme val="minor"/>
      </rPr>
      <t>Magellan Healthcare Contract</t>
    </r>
  </si>
  <si>
    <t>23FRF31455 plus L01 SFY 24 WP 24FRF31461  for de-obligation SFY 24</t>
  </si>
  <si>
    <t>Intensive in-home programs are a highly intensive and specialized community-based option in a full array of services for youth with serious emotional disturbance. Multiple treatment elements are integrated by a team into a single coordinated service.</t>
  </si>
  <si>
    <t>Contract with Magellan has been fully implemented. Services went live on 02/01/2024. Magellan and DCFS staff are actively working on outreach and referrals.  October 2024 was adjusted to reconcile to SFY 2024 RFR plus YTD expenses in SFY 25 through 10/31/24.  Salaries and employee drive cost from Cat 04 &amp; 26 from SFY 24 was not included previously.</t>
  </si>
  <si>
    <t>23INLVY01</t>
  </si>
  <si>
    <t>Independent Living Youth</t>
  </si>
  <si>
    <t>23FR314513</t>
  </si>
  <si>
    <t>The purpose of this project is to continue supplemental payments for Independent Living Youth through Dec. 31, 2023. Previously supported by Chafee Division X funds</t>
  </si>
  <si>
    <t>Supplemental payments to mitigate the risk for homelessness, unemployment, adversely educationally impacted, with significant negative mental health impacts.</t>
  </si>
  <si>
    <t xml:space="preserve">To help mitigate the negative financial and socioeconomic impact caused by the COVID pandemic for youth with previous foster care experience. </t>
  </si>
  <si>
    <t>23LADTR01a</t>
  </si>
  <si>
    <t>DCFS - Latency Age Day Treatment - FY 23</t>
  </si>
  <si>
    <t>23FRF36467</t>
  </si>
  <si>
    <t>To create a Latency Age Day Treatment program that will provide mental health services to youths 7-11 years old with determined severe emotional disturbance (SED).</t>
  </si>
  <si>
    <t xml:space="preserve">Families and caregivers will benefit from comprehensive and coordinated mental health services to include child/family psychotherapy, targeted case management, psychiatric services, assessment and referrals. </t>
  </si>
  <si>
    <t>Project completed.  Balance should be de-obligated.  Positions and associated operating cost were funded with General Fund Appropriations and Medicaid Reimbursements in L01 effective SFY 2025</t>
  </si>
  <si>
    <t>23LADTR01b</t>
  </si>
  <si>
    <t>DCFS - Latency Age Day Treatment - FY 24</t>
  </si>
  <si>
    <t>Balance should be de-obligated.</t>
  </si>
  <si>
    <t>23LVSRC01</t>
  </si>
  <si>
    <t>Vegas Strong Resiliency Center</t>
  </si>
  <si>
    <t>23FR314522</t>
  </si>
  <si>
    <t>A capital improvement project to provide a one stop shop for victims to receive wrap around support provided by Legal Aid Center of Southern Nevada.</t>
  </si>
  <si>
    <t>Based on an updated spending plan, the subrecipient determined that $401,607 originally designated for project oversight should be de-obligated,  Work Program 24FR31456T balanced forward the ARPA allocation remaining at the end of SFY 2023 minus the $401,607to be de-obligated.  Legal Aid Center of Southern Nevada has secured a building at 801 E. Charleston in Las Vegas. The building is a former bank and renovations are necessary and will include an additional building and parking.  Legal Aid Center has retained LGA Architecture to designed concept drawings that expand on the footprint of the existing building that meets the needs of the new building while keeping the historic design attributes.  A historical consultant has also been retained to document the current building for establishing a permanent historical record.  
On April 9, 2024, the first community meeting with surrounding neighbors to ensure they were aware of the new project and to elicit valuable feedback that could be integrated into the design to ensure it is a valued community asset and place of healing. 
Legal Aid Center is currently receiving bids for demolition of parts of the existing site. Special care is being taken to preserve the architecturally significant pieces of the building, such as the Brise Soleil on the east face of the building and the unique brickwork, both of which will be reinstalled in the new structure. Demolition is expected to start/end June-August 2024.</t>
  </si>
  <si>
    <t>23MBCCC01</t>
  </si>
  <si>
    <t>DCFS - Mobile Crisis Response Team - Clark County School District - funding for both SFY 23 ($1,208,534) &amp; 24 ($1,487,527 L01) for PCN 2150-2162 - 13 FTE &amp; associated cost. Program funded with GF &amp; Medicaid Reimb starting with SFY 2025</t>
  </si>
  <si>
    <t>23FRF36466 plus L01 SFY 24</t>
  </si>
  <si>
    <t>Fund mobile crisis expansion due to sustained growth in service utilization, partly with increase in distress, isolation, and hardship related to COVID-19.  These staff would target students in Clark County School District.</t>
  </si>
  <si>
    <t>Project 100% Complete.  Balance should be de-obligated.  Positions and associated operating cost were funded with General Fund Appropriations and Medicaid Reimbursements in L01 effective SFY 2025</t>
  </si>
  <si>
    <t>23MBCWC01</t>
  </si>
  <si>
    <t>DCFS - Mobile Crisis Response Team - Washoe County School District - funding for both SFY 23 ($361,982) &amp; 24 ($446,313) - PCN 2150-2153 - 4 FTE &amp; associated cost. Program funded with GF &amp; Medicaid Reimb starting with SFY 2025</t>
  </si>
  <si>
    <t>23FRF32813 plus L01 SFY 24</t>
  </si>
  <si>
    <t>Fund mobile crisis expansion due to sustained growth in service utilization, partly with increase in distress, isolation, and hardship related to COVID-19.  These staff would target students in Washoe County School District.</t>
  </si>
  <si>
    <t>23MYAVT02</t>
  </si>
  <si>
    <t>DCFS - myAVATAR</t>
  </si>
  <si>
    <t>23FRF31431</t>
  </si>
  <si>
    <t>Upgrade to myAvatar, an electronic health record solution to improve efficiency in operations.</t>
  </si>
  <si>
    <t>Upgrade the Netsmart myAvatar to the NX platform to maintain security compliance and meet accreditation for the system utilized by our clinicians for reporting treatment and medications for the clients we serve.</t>
  </si>
  <si>
    <t>Allocation Change to De-obligate $48,000 was approved by the GFO ARPA Team  - 100% Expended - FINALIZED</t>
  </si>
  <si>
    <t>23NNPSI01</t>
  </si>
  <si>
    <t>DCFS - PUBLIC SERVICE INTERNS - Northern Nevada -  funding for both SFY 23 ($186,468) &amp; 24 ($241,020 L01 per LCB ARPA Spreadsheet Dec 2023 -line 212 ) for PCN 2021- 2026 - 6 - 0.50 FTE positions &amp; associated cost. Program funded with GF &amp; Medicaid Reimb starting with SFY 2025</t>
  </si>
  <si>
    <t>23FRF32812 plus L01 SFY 24</t>
  </si>
  <si>
    <t>To incentivize students to enter state service and address workforce shortage</t>
  </si>
  <si>
    <t>These positions would enable the agency to have an internal pool of candidates for clinician positions.</t>
  </si>
  <si>
    <t>Recruiting difficulties that began with COVID-19 would be reduced.</t>
  </si>
  <si>
    <t>23NVPEP01</t>
  </si>
  <si>
    <t>Nevada PEP - Community Recovery Grant</t>
  </si>
  <si>
    <t>23FRF31451</t>
  </si>
  <si>
    <t>This program will focus on outreach to make families of children with disabilities aware of the services that are out there to serve their child. Nevada PEP will reach out to families and let them know how to seek services, how to communicate with the child's school or therapist about regressions or changes to be made, and will attend meetings with the family, and offer them support and confidence.</t>
  </si>
  <si>
    <t>Children with disabilities have fallen behind their same age peers overall and have regressed in mental health, reading, writing, and speech since COVID.</t>
  </si>
  <si>
    <t>Nevada PEP is developed a training and certiﬁcation program for Family Peer Support Services. Expenditures include the  RFR through 09/30/2024. The division will confirm that this was the FINAL RFR for 100% of the expenditures and if the balance of $5,423 will be de-obligated.</t>
  </si>
  <si>
    <t>23NWFEO01</t>
  </si>
  <si>
    <t>Nursing Workforce Educational Opportunity</t>
  </si>
  <si>
    <t>23FR314517</t>
  </si>
  <si>
    <t>Develop and enhance the nursing workforce to address unprecedented medical workforce shortages through providing scholarships to eligible Nevada Registered Nurses to enter a nationally accredited APRN program.</t>
  </si>
  <si>
    <t>Nevada is experiencing unprecedented medical workforce shortages in medicine, nursing, and behavioral health. 1.9 million Nevadans reside in a primary care Health Professional Shortage Area (HPSA) or 67.3% of the state's
population.</t>
  </si>
  <si>
    <t>UNR is on target to fully expend by 12/31/2025. UNR will be contracting with another entity starting 01/01/2025. Projections based on spending plan submitted by UNR. Scholarships are awarded by semester. UNLV has expended 100% of the $3.0 million awarded for the scholarships.</t>
  </si>
  <si>
    <t>23OASIS01</t>
  </si>
  <si>
    <t>DCFS - Oasis Staffing</t>
  </si>
  <si>
    <t>23FRF36464</t>
  </si>
  <si>
    <t>This would fund the temporary staffing necessary to fully operate two unlocked residential treatment homes on the West Charleston campus.</t>
  </si>
  <si>
    <t>The funding would support the temporary staffing needs of the Oasis program. This program provides critical residential services for the community.</t>
  </si>
  <si>
    <t xml:space="preserve">The Oasis program conducts an assessment prior to admissions to ensure that the clients meet the eligibility requirements for the program. </t>
  </si>
  <si>
    <t>100% Expended</t>
  </si>
  <si>
    <t>23QRTPC01</t>
  </si>
  <si>
    <t>Qualified Residential Treatment Program Clark Co  - Amendment #1 extended from date  to 6/30/24  - Amendment #2  extended from date 6/30/24 to 2/28/25</t>
  </si>
  <si>
    <t>23FR314512</t>
  </si>
  <si>
    <t>To support a 12 bed pilot program that meets Qualified Residential Treatment Program requirements.</t>
  </si>
  <si>
    <t>The goal of the programming is to ensure children and youth are not languishing in emergency shelters, detention, or hospitals when they need a community based level of foster care.</t>
  </si>
  <si>
    <t>Creating the new level of care for children and youth in foster care will provide an opportunity for children and youth to receive an appropriate level of mental health care</t>
  </si>
  <si>
    <t xml:space="preserve"> Per CCDFS, they are in the process of finalizing a contract with Apple Grove for 6 more beds to ensure the QRTP daily rate is consistent.  </t>
  </si>
  <si>
    <t>23RWECC01</t>
  </si>
  <si>
    <t>Provide a safe shelter, trauma informed care, and a full continuum of care to victims of sex-trafficking and those looking to leave the dark sex-industry.</t>
  </si>
  <si>
    <t>Continue to provide support to victims of crime in Nevada</t>
  </si>
  <si>
    <t>This award/subaward ended 9/30/24.  The division is waiting for the final request for reimbursement (RFR) from 23RWECC01.  The expenditures report to date are through July 2024.  August 2024 RFR in the amount of $28,971.49 was submitted for payment on 11/18/24 leaving a balance of $31,351.92 for the final RFR for September 2024.    A letter will go out requesting their final RFR</t>
  </si>
  <si>
    <t>23SNPSI01</t>
  </si>
  <si>
    <t>DCFS - Public Service Interns - Southern Nevada -  funding for both SFY 23 ($139,886) &amp; 24 ($160,680 L01) for PCN 2021-2024 - 13 FTE &amp; associated cost. Program funded with GF &amp; Medicaid Reimb starting with SFY 2025</t>
  </si>
  <si>
    <t>23FRF36465 plus L01 SFY 24</t>
  </si>
  <si>
    <t>The use of Public Service Interns throughout the State of Nevada would provide a relatively low-cost method of incentivizing students to enter the State of Nevada system as a service provider by offering clinical training opportunities.</t>
  </si>
  <si>
    <t>23SPFCC01</t>
  </si>
  <si>
    <t xml:space="preserve">Clark County SFC Rate increase - Retention of foster care providers through a temporary rate increase </t>
  </si>
  <si>
    <t>23FRF31422</t>
  </si>
  <si>
    <t>Retention of foster care providers through a temporary rate increase</t>
  </si>
  <si>
    <t xml:space="preserve">Retention of foster care providers through a temporary rate increase. </t>
  </si>
  <si>
    <t>The balance was de-obligated via an allocation change form 10/10/23  - 100% Expended - FINALIZED</t>
  </si>
  <si>
    <t>23SPFWC01</t>
  </si>
  <si>
    <t>Washoe County SFC Rate increase -Retention of foster care providers through a temporary rate increase</t>
  </si>
  <si>
    <t>23FRF31411</t>
  </si>
  <si>
    <t>23SRPRN01</t>
  </si>
  <si>
    <r>
      <rPr>
        <sz val="11"/>
        <color rgb="FF000000"/>
        <rFont val="Calibri"/>
        <family val="2"/>
        <scheme val="minor"/>
      </rPr>
      <t xml:space="preserve">Study to review Reimbursement Parity APRN - </t>
    </r>
    <r>
      <rPr>
        <b/>
        <sz val="11"/>
        <color rgb="FF000000"/>
        <rFont val="Calibri"/>
        <family val="2"/>
        <scheme val="minor"/>
      </rPr>
      <t>100% of funding returned - study was not completed.</t>
    </r>
  </si>
  <si>
    <t>23FR314516</t>
  </si>
  <si>
    <t>To conduct a study to review the impact of reimbursement parity for services provided by Advanced Practice Registered Nurses.</t>
  </si>
  <si>
    <t>A systems approach for review will be utilized considering cost savings of using APRNs, impact on workforce development and retention if reimbursement parity exists.</t>
  </si>
  <si>
    <t>Allocation Change to Deobligate 100% approved by GFO 7-14-23 Funding not needed</t>
  </si>
  <si>
    <t>23SUPST01a</t>
  </si>
  <si>
    <t xml:space="preserve">DCFS -ARPA Oversight -  BA 3145 (8 FTE - PCN 526-533); and Children's Behavioral Health Authority - BA 3146 (8 FTE - PCN 155, 156, 158, 159, 161, 162, 521 &amp;525) SFY 23 - </t>
  </si>
  <si>
    <t>3145 &amp; 3146</t>
  </si>
  <si>
    <t>23FRF31458</t>
  </si>
  <si>
    <t xml:space="preserve">Sixteen positions,  associated equipment, and operating expenses.   8 positions support the oversight of the ARPA allocations awarded to DCFS and 8 positions are assigned to the Children’s Behavioral Health Authority program.  </t>
  </si>
  <si>
    <t xml:space="preserve">Staff to provide DCFS with sufficient capacity to train and provide technical assistance to the behavioral health workforce; to expand evidence based children's mental and behavioral health for government agencies and community providers; and to provide oversight and quality assurance over children's mental/behavioral health services in Nevada. </t>
  </si>
  <si>
    <t>Behavioral health workforce; to expand evidence based children's mental and behavioral health for government agencies and community providers</t>
  </si>
  <si>
    <t>The division will submit a work program will to the GFO for consideration at the December 12, 2024 IFC meeting to use to the $1,856,496 remaining from this ARPA allocation to fund ARPA Oversight Contract Temp in SFY 2026 and 2027 through 2/28/2027,  a Management Analyst position for Contracts, cubicles, training and Respite.</t>
  </si>
  <si>
    <t xml:space="preserve"> $1,856,496 de-obligated will be requested to be allocated to other projects  at the December 12 2024 IFC meeting.</t>
  </si>
  <si>
    <t>23SUPST01b</t>
  </si>
  <si>
    <r>
      <t xml:space="preserve">DCFS -ARPA Oversight -  BA 3145 (8 FTE - PCN 526-533); and Children's Behavioral Health Authority - BA 3146 (8 FTE - PCN 155, 156, 158, 159, 161, 162, 521 &amp;525) SFY 24. </t>
    </r>
    <r>
      <rPr>
        <b/>
        <sz val="11"/>
        <color rgb="FF000000"/>
        <rFont val="Calibri"/>
        <family val="2"/>
        <scheme val="minor"/>
      </rPr>
      <t xml:space="preserve"> </t>
    </r>
  </si>
  <si>
    <t>Sixteen positions,  associated equipment, and operating expenses.   Eight positions support the oversight of the ARPA allocations awarded to DCFS and 8 positions are assigned to the Children’s Behavioral Health Authority program</t>
  </si>
  <si>
    <t xml:space="preserve">Project is complete for SFY 2024.  </t>
  </si>
  <si>
    <t>23SUPST3145</t>
  </si>
  <si>
    <t xml:space="preserve">DCFS -ARPA Oversight  SFY 2025-  BA 3145 (8 FTE - PCN 526-533)  - Amendment #1 </t>
  </si>
  <si>
    <t xml:space="preserve">25FRF31452 </t>
  </si>
  <si>
    <t xml:space="preserve">Eight positions,  associated equipment, and operating expenses.   Eight positions support the oversight of the ARPA allocations awarded to DCFS </t>
  </si>
  <si>
    <t>Staff to provide DCFS with sufficient capacity to provide oversight of the ARPA Allocations award to the division</t>
  </si>
  <si>
    <t>All eight positions are currently filled, of which two are with Contract/Temp workers.  The division has had problems  setting up the positions with Job #s for the download from HRDW.  JVRs need to be completed to capture 100% of the salaries and fringe benefits through 10/31/24</t>
  </si>
  <si>
    <t>23SUPST3146</t>
  </si>
  <si>
    <r>
      <t xml:space="preserve">DCFS -ARPA Children's Behavioral Health Authority  SFY 2025-  BA  3146 (8 FTE - PCN 155, 156, 158, 159, 161, 162, 521 &amp;525) SFY 24. </t>
    </r>
    <r>
      <rPr>
        <b/>
        <sz val="11"/>
        <color rgb="FF000000"/>
        <rFont val="Calibri"/>
        <family val="2"/>
        <scheme val="minor"/>
      </rPr>
      <t xml:space="preserve"> </t>
    </r>
  </si>
  <si>
    <t>25FRF31461</t>
  </si>
  <si>
    <t>Eight positions,  associated equipment, and operating expenses.   Eight positions support the Children’s Behavioral Health Authority program</t>
  </si>
  <si>
    <t>All eight positions are currently filled, of which two are with Contract/Temp workers.  See above 23SUPST3145 regarding JVRs needed for Job #21027A21 to be added for salaries paid thru 10/31/24</t>
  </si>
  <si>
    <t>23UNBSS01</t>
  </si>
  <si>
    <t xml:space="preserve"> Unified Billing Support Software</t>
  </si>
  <si>
    <t>23FRF31459</t>
  </si>
  <si>
    <t>Contract for a software platform that allows for clinical documentation, tracking, and billing of mental health services in Nevada Schools.</t>
  </si>
  <si>
    <t>Funding will be used as seed dollars to implement a statewide system that the districts would be able to opt in to bill for services outside of the IEP.</t>
  </si>
  <si>
    <t>Integrate across systems to establish core student identity, access management, and bidirectional information exchange. Leverage and further develop the Statewide Behavioral Health Referral Use Case</t>
  </si>
  <si>
    <t>23UNITY01</t>
  </si>
  <si>
    <t>Unified Nevada Information  Technology  for Youth (UNITY) Replacement</t>
  </si>
  <si>
    <t>23FRF31432</t>
  </si>
  <si>
    <t>To contract the replacement of the Unified Nevada Information Technology for Youth (UNITY) system.</t>
  </si>
  <si>
    <t>Funds to replace the UNITY system which is Nevada's federally required electronic child welfare case management tool and holds the official case records for all children and families served by child welfare agencies
in Nevada.</t>
  </si>
  <si>
    <t>With the help of the UNITY Modernization Needs Assessment Project Vendor “KPMG LLP”, DCFS Information Services completed gathering the functional requirements for the below UNITY functional areas:
1)	Intake
2)	Assessment/Investigation
3)	Case Management
4)	Med Case Management/Treatment and Case Review
5)	Foster Care Services for App Licensing/Licensing Caseload and Resource Availability
6)	Placement Stability &amp; Permanency (Make, Maintain, Preserve Placement)
7)	Adoptions (Case Management of) and Independent Living
8)	Court Processing
9)	Eligibility
10)	Financial/Provider Management/Payment Processing
11)	Child, Guardians, Parents, Resources &amp; Collateral Profile Management
12)	Security
13)	Worker Workflows
14)	Data Management and Data Quality
15)	Forms
16)	System Interfaces
17)	Reporting and Analytics
Upcoming Workshop Schedule:
Juvenile Justice (Part 2) – Week of December 2nd
The vendor KPMG LLP provided DCFS the following deliverables (Deliverable Expectations Documents (DED) – 1st Draft) related to the Child Welfare Information System  which are currently being reviewed by the Stakeholders.
1.	Requirements
2.	Process Flows
3.	Matrix</t>
  </si>
  <si>
    <t>23WINIC01</t>
  </si>
  <si>
    <t>DCFS - Wraparound Authority/intensive Care Coordination - Amendment #4 Reduced amount of award by $348</t>
  </si>
  <si>
    <t>23FR31454 plus L01 SFY 24</t>
  </si>
  <si>
    <t xml:space="preserve">Provide intensive care coordination for a subset of youth who would benefit from the highest level of intensive care coordination that is beyond the scope of services the WIN model is designed to provide. </t>
  </si>
  <si>
    <t>Youth that have been relinquished by their parents due to the intensity of their needs, those at extremely high risk of relinquishment, and those living in emergency shelters or temporary foster and alternative living arrangements.</t>
  </si>
  <si>
    <t>Contract with Magellan has been implemented and went live on 02/01/2024.  October 2024 was adj to reconcile to SFY 24 RFR plus YTD expenses in SFY 25 - Salaries and employee drive cost from Cat 04 &amp; 26 from SFY 24 was not included.</t>
  </si>
  <si>
    <t>24CAMR01</t>
  </si>
  <si>
    <t>Camera Security Replacement Projects - Summit View Youth Center and Northern Nevada Youth Center</t>
  </si>
  <si>
    <t>24FRF13831</t>
  </si>
  <si>
    <t>This request includes the replacement of the current functional and non-functional video devices with new cameras, mounts and recording servers.  This is an urgent need to get the system federally compliant.</t>
  </si>
  <si>
    <t>The contract for Northern NV Youth Center (NYTC) camera system in the amount of $237,331 was approved at the 7/9/24 BOE meeting with an anticipated completion date of 12/31/24.  The quote for Summit View's camera system is $390,165.49 and the contract will be considered at the 12/10/24 BOE meeting, with an anticipated completion date of 3/31/2025.  In addition to the 2 contracts for the camera system, switches were needed and purchased for the NYTC Camera System.  The balance of the ARPA funding will be used to purchase body cameras at both facilities.</t>
  </si>
  <si>
    <t>24CHINA02</t>
  </si>
  <si>
    <t>L01 - SFY 24</t>
  </si>
  <si>
    <t xml:space="preserve"> Restoration - restore 5 separate positions.</t>
  </si>
  <si>
    <t xml:space="preserve">Services to youth 12-18 and their families in the sixteen counties serviced by the Camp (all Counties except Clark) with substance use and mental health issues to reduce recidivism into the juvenile justice system. </t>
  </si>
  <si>
    <t xml:space="preserve">Funding for positions that have already been hired through the restoration of positions. Subaward has been finalized with County of Douglas on 1/19/24. Reimbursement requests are being submitted . </t>
  </si>
  <si>
    <t>24VOCVP01</t>
  </si>
  <si>
    <t>Victims of Crime Program</t>
  </si>
  <si>
    <t>L01 SFY 24 - $134,136; and L01 SFY 25 - $437,210</t>
  </si>
  <si>
    <t>Sub-award to Victims of Crime Service Providers.</t>
  </si>
  <si>
    <t>VOCA grant funding has decreased significantly over the last three years. Continue to provide support to victims of crime in Nevada.</t>
  </si>
  <si>
    <t xml:space="preserve">Continue to provide support to victims of crime in Nevada. </t>
  </si>
  <si>
    <t>Funding will be used for Victim of Crime claims and paid in SFY24 QTR3. Funding will be fully expended by 12/31/24.</t>
  </si>
  <si>
    <t>24CMH9A01</t>
  </si>
  <si>
    <t>Building 9 Renovation West Charleston Children's Mental Health Campus</t>
  </si>
  <si>
    <t>25FRF36461</t>
  </si>
  <si>
    <t>State Public Works  - design and construct kitchen and bathroom renovations and window replacements at the Southern Nevada Child and Adolescent Services West Charleston , Building 9</t>
  </si>
  <si>
    <t xml:space="preserve">This request will ensure the safety and well-being of the youth being treated at the West Charleston Children's Mental Health campus.  </t>
  </si>
  <si>
    <t xml:space="preserve">Clark County is currently contracting with a private vendor to provide services to boys with autism spectrum disorder in a facility on the West Charleston Campus. Similar services are needed for girls, and renovation of this facility will allow DCFS to provide much needed services for these youth with the intent that they are able to reunify with their families or have a successful placement in another setting on the continuum of care for youth with behavioral challenges. 
</t>
  </si>
  <si>
    <t>New NOA - work program approved at the June 13, 2024 Legislative Interim Finance Committee.  Signed subaward #21027-22-10 9was issued to Silver State Pediatrics on 10/24/24  in the amount of $3,888,162 for the Building 9 Renovation on the West Charleston Children's Mental Health Campus.  Going to the 12/12/24 IFC Meeting is work program 25FRF36464 which de-obligates $3,804,562.  Expenses totaling $83,600 will be reimbursed to Silver State Pediatrics for invoices paid.  upon approval of the above referenced work program, this ARPA allocation balance of $3,804,562 will be de-obligated.</t>
  </si>
  <si>
    <t xml:space="preserve">N/A </t>
  </si>
  <si>
    <t>Count of Agency</t>
  </si>
  <si>
    <t>Grand Total</t>
  </si>
  <si>
    <t>Count of Area Served: Urban (Clark/Washoe), Rural or Statewide</t>
  </si>
  <si>
    <t>Sum of Revised Approved Budget</t>
  </si>
  <si>
    <t>Sum of Total Expended
DO NOT HARDCODE</t>
  </si>
  <si>
    <t>ARPA Work Programs</t>
  </si>
  <si>
    <t>WP adjustments</t>
  </si>
  <si>
    <t>Difference from LCB</t>
  </si>
  <si>
    <t>24FRF31613</t>
  </si>
  <si>
    <t>City of Las Vegas Detention Center</t>
  </si>
  <si>
    <t>24FRF31616</t>
  </si>
  <si>
    <t>Stein forensic Hospital renovations</t>
  </si>
  <si>
    <t>24FRF32782</t>
  </si>
  <si>
    <t>24FRF32783</t>
  </si>
  <si>
    <t>24FRF32784</t>
  </si>
  <si>
    <t>24FRF32785</t>
  </si>
  <si>
    <t>Resource and Service Navigation</t>
  </si>
  <si>
    <t>24FRF32813</t>
  </si>
  <si>
    <t>Staff Vacancies</t>
  </si>
  <si>
    <t>24FRF32814</t>
  </si>
  <si>
    <t>24FRF32815</t>
  </si>
  <si>
    <t>24FRF36453</t>
  </si>
  <si>
    <t>24FRF36464</t>
  </si>
  <si>
    <t>24FRF36465</t>
  </si>
  <si>
    <t>24FRF36466</t>
  </si>
  <si>
    <t>24FR315807</t>
  </si>
  <si>
    <t>ROI Targeted Wage Increases for State employees enrolled in Medicaid</t>
  </si>
  <si>
    <t>24FR316501</t>
  </si>
  <si>
    <t xml:space="preserve">Nevada Resilince Project </t>
  </si>
  <si>
    <t>24FR316502</t>
  </si>
  <si>
    <t xml:space="preserve">Crisis Stabilization Centers </t>
  </si>
  <si>
    <t>24FR317011</t>
  </si>
  <si>
    <t>Newborn Opioid Screening Panel</t>
  </si>
  <si>
    <t>24FR324301</t>
  </si>
  <si>
    <t>Long Term Care for Assisted Living &amp; Nursing Facility Workforce</t>
  </si>
  <si>
    <t>25FR322301</t>
  </si>
  <si>
    <t>Security Cameras -Summit View &amp; NYTC</t>
  </si>
  <si>
    <t>Area Served</t>
  </si>
  <si>
    <t>Budgeted Amount</t>
  </si>
  <si>
    <t>%</t>
  </si>
  <si>
    <t>Topic/Category</t>
  </si>
  <si>
    <t>Total</t>
  </si>
  <si>
    <t>% Approved</t>
  </si>
  <si>
    <t>Total Expended</t>
  </si>
  <si>
    <t>% Department Expended</t>
  </si>
  <si>
    <t>% Agency Expended</t>
  </si>
  <si>
    <t>400 - Director's Office</t>
  </si>
  <si>
    <t>402 - ADSD</t>
  </si>
  <si>
    <t>403 - DHCFP</t>
  </si>
  <si>
    <t>406 - DPBH</t>
  </si>
  <si>
    <t>407 - DWSS</t>
  </si>
  <si>
    <t>409 - DCFS</t>
  </si>
  <si>
    <t>Completed Projects by Topic</t>
  </si>
  <si>
    <t>Status date</t>
  </si>
  <si>
    <t xml:space="preserve">The Nevada Donor Network (NDN), a federally designated charitable organ procurement organization responsible for the identification and recovery of organs for transplant, has received one-time funds to enhance organ donation and transplantation efforts in Nevada. These efforts are aimed at addressing existing access to transplant services disparities by creating new pathways. These funds will support infrastructure developments at both Las Vegas and Reno sites, enabling the initiation of liver and kidney transplant centers. These funds will help stand up the Nevada Transplant Institute (NTI), which is focused on the transplant side, including clinics and physicians that the state sorely lacks.  </t>
  </si>
  <si>
    <t xml:space="preserve">Through OrganOx perfusion, the grant has facilitated the successful retrieval of 60 livers that otherwise would have been discarded. OrganOx perfusion is a process that better preserves the organ by pumping it with oxygenated blood, nutrients and medication while keeping it at body temperature. With key personnel onboarded (including surgeons), preparations are underway for the first kidney transplant, expected by the middle of 2025.  A transplant clinic in Southern Nevada is underway which will help add additional transplant pathways for patients in the Las Vegas Valley. The grant will be 100% expended by December 2026 on medical staff, medical infrastructure, and medical procedures. </t>
  </si>
  <si>
    <t>This project helps connect individuals on the waitlist with services as well as provides funding to subrecipients for  implementation of innovative service delivery models.</t>
  </si>
  <si>
    <t>Two contracts under this project will help ADSD improve processes and systems and implement complex federal regulations. Contract 1 provided business process redesign (BPR) to streamline intake and case management, create efficiency in workflows, centralize activities and remove duplication to improve access to care for clients within the Autism Treatment Assistance Program, Developmental Services and Office of Community Living. Contract 2, which is still in progress, will provide consulting, technical assistance, and program evaluation for Enhancing Home and Community-Based Services Regulations. This portion of the project evaluated ADSD's home and community-based waiver program compliance with federal regulations, made recommendations for program improvement in relation to those regulations, and provided staff with training needed to implement program improvement.</t>
  </si>
  <si>
    <t>A provider rate study, completed in 2022 by HMA, helped ADSD and NEIS recognize how provider rates and system costs are substantially influenced by the systems design. With HMA's System study, we were able to evaluate the current structure of the NEIS system to support potential changes to policies, practices, and contracts.  We considered the impacts of system design on providers and State programs and how it affects program costs and provider sustainability.</t>
  </si>
  <si>
    <t>This project is to pay for the federally required Biennial Internal Security Risk Assessment to review the security controls, policies and procedures used to protect the significant amount of protected/sensitive health information utilized by the Division of Health Care Financing and Policy (DHCFP, or Nevada Medicaid).</t>
  </si>
  <si>
    <t>Covering the cost of the LARC devices would allow the FQHCS to maintain a supply to offer same-day services for insertion, allow greater access to the services and reducing the number of unwanted pregnancies.</t>
  </si>
  <si>
    <t xml:space="preserve">The purpose of this project is to provide health care workforce scholarships  for training and certification programs. Scholarships would be offered as incentives to encourage more individuals to complete the training and certification programs. </t>
  </si>
  <si>
    <t xml:space="preserve">Although DHCFP currently has the ability to comply with the mandate to implement payment suspensions and report on  annually, it does not have a way to efficiently and accurately process the   required information in the SUR database. Current process is cumbersome and prone to errors in its manual form. </t>
  </si>
  <si>
    <t>As of March 2025, 210 providers statewide have received funding to use for recruitment, overtime/temporary staffing and training/education. The MA3 is contracted through  June 30, 2025.</t>
  </si>
  <si>
    <t>This project will significantly expand the Nevada Resilience Project, which was designed to specifically respond to the impacts of the COVID-19 pandemic. The Resilience Project was designed to help individuals experiencing stress or anxiety build coping strategies as well as help with locating resources related to managing job loss, housing insecurity, isolation, or challenges of accessing care, by working it local, trusted social services and community providers to embed 39 Resilience Ambassadors in local agencies to serve the diverse needs of each geographic region of the state.</t>
  </si>
  <si>
    <t>Nevada used $1,899,293 to execute a sub-award with a trusted provider to expand the Resilience Project to full capacity. Resilience ambassadors provide individual/group counseling, psycho-education support, resource navigation, suicide prevention, crisis assessment, and recovery supports based on the behavioral impacts of the COVID pandemic.</t>
  </si>
  <si>
    <t>This project will provide funding for initial startup costs of constructing new Crisis Stabilization Centers (CSS), which are short-term facilities that provide 23-hour care for someone who needs a safe place to recover from a behavioral health crisis. These startup costs include purchasing a building for a Clark County Center, slated to open this year, and construction costs of the Renown Crisis Care Center.</t>
  </si>
  <si>
    <t>The project will provide vaccine scheduling support of inbound and outbound calls through the funded vendor call center. The call center is no longer operational.</t>
  </si>
  <si>
    <t xml:space="preserve"> UNLV Kristen- sent several emails to get word out for scholarships, and one more info session in April. Not getting a good response in applications for degree programs. We are working with her to help get the word out. Brian- Fellows have completed self assessments of their skills and started working on individual projects in January. Application process and timeline for Cohort 2 has been developed for launch in the summer of 2025. Host sites have agreed to extend their participation for a second year. One member of the committee has been recruited. The existing mentors will be asked to participate in committee planning meeting in Q1 as part of recruiting the next cohort. EAB 725 (infectious disease epidemiology) and 745 (disease surveillance), courses that will be part of the certificate are currently being offered in the spring. EAB 735 (outbreak investigation) will be offered in the fall of 2025. These three courses are the required courses for the certificate. Certificate continues to progress through the multiple steps of the approval process.                                                      9 full time FTE / Contractors and 3 summer interns.  Onboarding currently in progress for vacant positions.  Vacancy savings utilized to extend length of coverage for included positions.   Fully obligated - no additional contracts in process or anticipated. </t>
  </si>
  <si>
    <t xml:space="preserve">NSPHL's Lab-Epi liaison position is developing training presentations for statewide epidemiologists including utilization of the NSPHL dashboard for SARS-CoV-2. This will allow NSPHL to increase statewide training and capacity in the working knowledge of genomic biology. As of April 2025, seven trainings have  been delivered, and a pre-post test is in development for future trainings. The project is  anticipated to be completed by December 2025.  </t>
  </si>
  <si>
    <t>The project has decreased the timeline for all things subaward related between DPBH and the subrecipients. A project extension request was approved and extends the project into SFY26, which will allow for a final update to the system prior to the contract with Agate ending. Project expected to expend fully by April 2026.</t>
  </si>
  <si>
    <t>DPBH’s multiple ARPA projects are expected to continue through December 2026 with final reporting due by March 31, 2027. Continuation of the positions are needed to complete the work associated with the funding. Without the positions, division staff would be required to take on additional duties and current capacity does not allow for that. DPBH and GFO received approval to extend this project through March 31, 2027. All funds for this project are projected to be fully utilized.</t>
  </si>
  <si>
    <t xml:space="preserve">It is anticipated that the entire amount will be expended. Upon discussion with CCHHS, they will begin subawarding ARPA funds to Douglas County beginning January 1, 2025, as they are working with them on a budget; they anticipate spending their full award amount of $1,274,800 during the project period. RFRs from subgrantees are delayed for CNHD and NNHD as RFRs going to the month of October have not been submitted. Program has met with subgrantees (NNPH, CNHD, and CCHHS ) to discuss the need for updated spend plans and current expended amounts to ensure all funds are utilized. Program intends to meet with each subgrantee a minimum of quarterly to ensure appropriate spenddown. Subgrantees have been advised unobligated funds would be returned. </t>
  </si>
  <si>
    <t>This project provides funding to hire additional professional staff to provide evaluations at Lake's Crossing Center and Stein Forensic Hospital to bolster inpatient and outpatient programs to decrease wait list.</t>
  </si>
  <si>
    <t>The purpose of this project  is to expand, sustain and improve the current Rural Mobile Crisis Response Team by aligning with statewide efforts related to 988, the National Crisis Now Model and the Medicaid Expansion Mobile Crisis Planning Grant.  The ARPA funds awarded will provide two in-person, peer-led mobile crisis response teams in Elko County. The pilot project will allow DPBH's Rural Clinics to assess if this type of service could be sustainable in rural communities.  The ARPA funding will provide for two in-person teams available to respond. Cell phones and iPads will be part of the team’s equipment and will allow the families to sign consent forms electronically as well as connect with the crisis clinician via telehealth.</t>
  </si>
  <si>
    <t xml:space="preserve">This project's awardee, Special Olympics of Nevada, will provide interactive learning activities focused on developing adaptive coping skills to prevent self-harm. To date, Special Olympics has implemented the Strong Minds curriculum in 15 schools and 1 community organization. </t>
  </si>
  <si>
    <t>This project's awardee, China Springs Youth Camp, will provide services to youth 12-18 and their families in the 16 counties serviced by the camp (all counties except Clark) to include teaching of cognitive and problem-solving skills, education and employment skills, group skills, provision of medication monitoring, provision licensed mental health providers to assist in assessments, screenings, and case planning.</t>
  </si>
  <si>
    <t>Refuge for Women Emergency Crisis Care - Community Recovery Grant - Amendment #1 extended from date 9/30/24 to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</si>
</sst>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_([$$-409]* #,##0.00_);_([$$-409]* \(#,##0.00\);_([$$-409]* &quot;-&quot;??_);_(@_)"/>
  </numFmts>
  <fonts count="28" x14ac:knownFonts="1">
    <font>
      <sz val="11"/>
      <color theme="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9"/>
      <color indexed="81"/>
      <name val="Tahoma"/>
      <family val="2"/>
    </font>
    <font>
      <sz val="9"/>
      <color indexed="81"/>
      <name val="Tahoma"/>
      <family val="2"/>
    </font>
    <font>
      <sz val="11"/>
      <color rgb="FFFF0000"/>
      <name val="Calibri"/>
      <family val="2"/>
      <scheme val="minor"/>
    </font>
    <font>
      <sz val="11"/>
      <color theme="1"/>
      <name val="Calibri"/>
      <family val="2"/>
    </font>
    <font>
      <sz val="11"/>
      <color rgb="FF000000"/>
      <name val="Calibri"/>
      <family val="2"/>
      <scheme val="minor"/>
    </font>
    <font>
      <b/>
      <sz val="10"/>
      <color rgb="FFFF0000"/>
      <name val="Calibri"/>
      <family val="2"/>
      <scheme val="minor"/>
    </font>
    <font>
      <b/>
      <sz val="11"/>
      <color rgb="FFFF0000"/>
      <name val="Calibri"/>
      <family val="2"/>
      <scheme val="minor"/>
    </font>
    <font>
      <b/>
      <sz val="10"/>
      <name val="Calibri"/>
      <family val="2"/>
      <scheme val="minor"/>
    </font>
    <font>
      <sz val="10"/>
      <name val="Calibri"/>
      <family val="2"/>
      <scheme val="minor"/>
    </font>
    <font>
      <b/>
      <sz val="11"/>
      <color rgb="FF000000"/>
      <name val="Calibri"/>
      <family val="2"/>
      <scheme val="minor"/>
    </font>
    <font>
      <sz val="11"/>
      <color rgb="FF000000"/>
      <name val="Calibri"/>
      <family val="2"/>
    </font>
    <font>
      <b/>
      <sz val="12"/>
      <color theme="1"/>
      <name val="Calibri"/>
      <family val="2"/>
      <scheme val="minor"/>
    </font>
    <font>
      <sz val="11"/>
      <color theme="1"/>
      <name val="Aptos"/>
      <family val="2"/>
      <charset val="1"/>
    </font>
    <font>
      <sz val="11"/>
      <color rgb="FF000000"/>
      <name val="Aptos Narrow"/>
      <family val="2"/>
    </font>
    <font>
      <sz val="11"/>
      <color rgb="FF000000"/>
      <name val="Aptos"/>
      <family val="2"/>
      <charset val="1"/>
    </font>
    <font>
      <sz val="10"/>
      <color theme="1"/>
      <name val="Aptos"/>
      <family val="2"/>
      <charset val="1"/>
    </font>
    <font>
      <sz val="10"/>
      <color rgb="FF000000"/>
      <name val="Aptos"/>
      <family val="2"/>
      <charset val="1"/>
    </font>
    <font>
      <sz val="11"/>
      <color rgb="FF444444"/>
      <name val="Calibri"/>
      <family val="2"/>
    </font>
    <font>
      <sz val="11"/>
      <name val="Calibri"/>
      <family val="2"/>
    </font>
    <font>
      <sz val="12"/>
      <color rgb="FF000000"/>
      <name val="Calibri"/>
      <family val="2"/>
    </font>
    <font>
      <sz val="11"/>
      <name val="Calibri"/>
      <family val="2"/>
      <scheme val="minor"/>
    </font>
    <font>
      <sz val="11"/>
      <color rgb="FF000000"/>
      <name val="Aptos Narrow"/>
    </font>
    <font>
      <sz val="11"/>
      <color rgb="FF000000"/>
      <name val="Calibri"/>
      <charset val="1"/>
    </font>
    <font>
      <sz val="11"/>
      <color rgb="FF000000"/>
      <name val="Aptos"/>
      <charset val="1"/>
    </font>
  </fonts>
  <fills count="9">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FF"/>
        <bgColor indexed="64"/>
      </patternFill>
    </fill>
  </fills>
  <borders count="4">
    <border>
      <left/>
      <right/>
      <top/>
      <bottom/>
      <diagonal/>
    </border>
    <border>
      <left/>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86">
    <xf numFmtId="0" fontId="0" fillId="0" borderId="0" xfId="0"/>
    <xf numFmtId="0" fontId="0" fillId="0" borderId="0" xfId="0" applyAlignment="1">
      <alignment wrapText="1"/>
    </xf>
    <xf numFmtId="0" fontId="0" fillId="0" borderId="1" xfId="0" applyBorder="1"/>
    <xf numFmtId="0" fontId="1" fillId="0" borderId="0" xfId="0" applyFont="1" applyAlignment="1">
      <alignment wrapText="1"/>
    </xf>
    <xf numFmtId="14" fontId="0" fillId="0" borderId="0" xfId="0" applyNumberFormat="1"/>
    <xf numFmtId="0" fontId="0" fillId="0" borderId="0" xfId="0" pivotButton="1"/>
    <xf numFmtId="0" fontId="0" fillId="0" borderId="0" xfId="0" applyAlignment="1">
      <alignment horizontal="left"/>
    </xf>
    <xf numFmtId="43" fontId="0" fillId="0" borderId="0" xfId="0" applyNumberFormat="1"/>
    <xf numFmtId="9" fontId="0" fillId="0" borderId="0" xfId="3" applyFont="1"/>
    <xf numFmtId="164" fontId="0" fillId="0" borderId="0" xfId="1" applyNumberFormat="1" applyFont="1"/>
    <xf numFmtId="0" fontId="1" fillId="0" borderId="1" xfId="0" applyFont="1" applyBorder="1" applyAlignment="1">
      <alignment horizontal="right"/>
    </xf>
    <xf numFmtId="164" fontId="1" fillId="0" borderId="1" xfId="1" applyNumberFormat="1" applyFont="1" applyBorder="1"/>
    <xf numFmtId="0" fontId="1" fillId="0" borderId="0" xfId="0" applyFont="1" applyAlignment="1">
      <alignment horizontal="center" wrapText="1"/>
    </xf>
    <xf numFmtId="43" fontId="0" fillId="0" borderId="0" xfId="1" applyFont="1"/>
    <xf numFmtId="0" fontId="1" fillId="0" borderId="1" xfId="0" applyFont="1" applyBorder="1"/>
    <xf numFmtId="9" fontId="1" fillId="0" borderId="1" xfId="3" applyFont="1" applyBorder="1"/>
    <xf numFmtId="0" fontId="1" fillId="0" borderId="0" xfId="0" applyFont="1" applyAlignment="1">
      <alignment horizontal="center"/>
    </xf>
    <xf numFmtId="0" fontId="1" fillId="0" borderId="0" xfId="0" applyFont="1" applyAlignment="1">
      <alignment horizontal="right"/>
    </xf>
    <xf numFmtId="164" fontId="1" fillId="0" borderId="0" xfId="1" applyNumberFormat="1" applyFont="1" applyBorder="1"/>
    <xf numFmtId="165" fontId="1" fillId="0" borderId="0" xfId="3" applyNumberFormat="1" applyFont="1" applyBorder="1"/>
    <xf numFmtId="43" fontId="0" fillId="0" borderId="1" xfId="1" applyFont="1" applyBorder="1"/>
    <xf numFmtId="0" fontId="1" fillId="2" borderId="0" xfId="0" applyFont="1" applyFill="1"/>
    <xf numFmtId="43" fontId="1" fillId="2" borderId="0" xfId="1" applyFont="1" applyFill="1"/>
    <xf numFmtId="164" fontId="1" fillId="2" borderId="0" xfId="1" applyNumberFormat="1" applyFont="1" applyFill="1" applyAlignment="1">
      <alignment wrapText="1"/>
    </xf>
    <xf numFmtId="0" fontId="1" fillId="2" borderId="0" xfId="0" applyFont="1" applyFill="1" applyAlignment="1">
      <alignment wrapText="1"/>
    </xf>
    <xf numFmtId="43" fontId="1" fillId="0" borderId="0" xfId="1" applyFont="1" applyAlignment="1">
      <alignment horizontal="center"/>
    </xf>
    <xf numFmtId="9" fontId="0" fillId="0" borderId="1" xfId="3" applyFont="1" applyBorder="1" applyAlignment="1"/>
    <xf numFmtId="165" fontId="0" fillId="0" borderId="0" xfId="3" applyNumberFormat="1" applyFont="1"/>
    <xf numFmtId="165" fontId="0" fillId="0" borderId="1" xfId="3" applyNumberFormat="1" applyFont="1" applyBorder="1"/>
    <xf numFmtId="165" fontId="0" fillId="0" borderId="0" xfId="3" applyNumberFormat="1" applyFont="1" applyAlignment="1"/>
    <xf numFmtId="43" fontId="1" fillId="0" borderId="1" xfId="1" applyFont="1" applyBorder="1"/>
    <xf numFmtId="43" fontId="1" fillId="0" borderId="1" xfId="3" applyNumberFormat="1" applyFont="1" applyBorder="1"/>
    <xf numFmtId="0" fontId="19" fillId="0" borderId="0" xfId="0" applyFont="1" applyAlignment="1">
      <alignment horizontal="left" vertical="top" wrapText="1"/>
    </xf>
    <xf numFmtId="0" fontId="1" fillId="0" borderId="0" xfId="0" applyFont="1" applyAlignment="1">
      <alignment horizontal="left"/>
    </xf>
    <xf numFmtId="0" fontId="0" fillId="0" borderId="0" xfId="0" applyAlignment="1">
      <alignment vertical="top"/>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xf>
    <xf numFmtId="14" fontId="0" fillId="0" borderId="0" xfId="0" applyNumberFormat="1" applyAlignment="1">
      <alignment horizontal="left" vertical="top" wrapText="1"/>
    </xf>
    <xf numFmtId="1" fontId="0" fillId="5" borderId="0" xfId="0" applyNumberFormat="1" applyFill="1" applyAlignment="1">
      <alignment horizontal="left" vertical="top" wrapText="1"/>
    </xf>
    <xf numFmtId="9" fontId="0" fillId="5" borderId="0" xfId="3" applyFont="1" applyFill="1" applyAlignment="1">
      <alignment horizontal="left" vertical="top" wrapText="1"/>
    </xf>
    <xf numFmtId="44" fontId="0" fillId="0" borderId="0" xfId="2" applyFont="1" applyFill="1" applyAlignment="1">
      <alignment horizontal="left" vertical="top" wrapText="1"/>
    </xf>
    <xf numFmtId="44" fontId="0" fillId="5" borderId="0" xfId="2" applyFont="1" applyFill="1" applyAlignment="1">
      <alignment horizontal="left" vertical="top" wrapText="1"/>
    </xf>
    <xf numFmtId="165" fontId="0" fillId="5" borderId="0" xfId="3" applyNumberFormat="1" applyFont="1" applyFill="1" applyAlignment="1">
      <alignment horizontal="left" vertical="top" wrapText="1"/>
    </xf>
    <xf numFmtId="44" fontId="0" fillId="5" borderId="0" xfId="2" applyFont="1" applyFill="1" applyAlignment="1">
      <alignment horizontal="left" vertical="top"/>
    </xf>
    <xf numFmtId="44" fontId="0" fillId="0" borderId="0" xfId="2" applyFont="1" applyFill="1" applyAlignment="1">
      <alignment horizontal="left" vertical="top"/>
    </xf>
    <xf numFmtId="165" fontId="0" fillId="0" borderId="0" xfId="3" applyNumberFormat="1" applyFont="1" applyFill="1" applyAlignment="1">
      <alignment horizontal="left" vertical="top" wrapText="1"/>
    </xf>
    <xf numFmtId="43" fontId="0" fillId="0" borderId="0" xfId="1" applyFont="1" applyFill="1" applyAlignment="1">
      <alignment horizontal="left" vertical="top" wrapText="1"/>
    </xf>
    <xf numFmtId="44" fontId="0" fillId="0" borderId="0" xfId="0" applyNumberFormat="1" applyAlignment="1">
      <alignment horizontal="left" vertical="top"/>
    </xf>
    <xf numFmtId="44" fontId="0" fillId="0" borderId="0" xfId="2" applyFont="1" applyAlignment="1">
      <alignment horizontal="left" vertical="top"/>
    </xf>
    <xf numFmtId="0" fontId="0" fillId="0" borderId="0" xfId="0" quotePrefix="1" applyAlignment="1">
      <alignment horizontal="left" vertical="top" wrapText="1"/>
    </xf>
    <xf numFmtId="44" fontId="0" fillId="0" borderId="0" xfId="3" applyNumberFormat="1" applyFont="1" applyFill="1" applyAlignment="1">
      <alignment horizontal="left" vertical="top" wrapText="1"/>
    </xf>
    <xf numFmtId="0" fontId="14" fillId="0" borderId="0" xfId="0" applyFont="1" applyAlignment="1">
      <alignment vertical="top" wrapText="1"/>
    </xf>
    <xf numFmtId="44" fontId="0" fillId="0" borderId="0" xfId="2" applyFont="1" applyAlignment="1">
      <alignment horizontal="left" vertical="top" wrapText="1"/>
    </xf>
    <xf numFmtId="165" fontId="0" fillId="0" borderId="0" xfId="3" applyNumberFormat="1" applyFont="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6" fillId="0" borderId="0" xfId="0" applyFont="1" applyAlignment="1">
      <alignment horizontal="left" vertical="top" wrapText="1"/>
    </xf>
    <xf numFmtId="166" fontId="0" fillId="0" borderId="0" xfId="3" applyNumberFormat="1" applyFont="1" applyFill="1" applyAlignment="1">
      <alignment horizontal="left" vertical="top" wrapText="1"/>
    </xf>
    <xf numFmtId="166" fontId="14" fillId="0" borderId="0" xfId="0" applyNumberFormat="1" applyFont="1" applyAlignment="1">
      <alignment vertical="top" wrapText="1"/>
    </xf>
    <xf numFmtId="8" fontId="14" fillId="0" borderId="0" xfId="0" applyNumberFormat="1" applyFont="1" applyAlignment="1">
      <alignment vertical="top" wrapText="1"/>
    </xf>
    <xf numFmtId="0" fontId="17" fillId="0" borderId="0" xfId="0" applyFont="1" applyAlignment="1">
      <alignment horizontal="left" vertical="top"/>
    </xf>
    <xf numFmtId="0" fontId="16" fillId="0" borderId="0" xfId="0" applyFont="1" applyAlignment="1">
      <alignment vertical="top"/>
    </xf>
    <xf numFmtId="166" fontId="23" fillId="0" borderId="0" xfId="0" applyNumberFormat="1" applyFont="1" applyAlignment="1">
      <alignment vertical="top" wrapText="1"/>
    </xf>
    <xf numFmtId="166" fontId="14" fillId="0" borderId="0" xfId="0" applyNumberFormat="1" applyFont="1" applyAlignment="1">
      <alignment vertical="top"/>
    </xf>
    <xf numFmtId="8" fontId="14" fillId="0" borderId="0" xfId="0" applyNumberFormat="1" applyFont="1" applyAlignment="1">
      <alignment vertical="top"/>
    </xf>
    <xf numFmtId="166" fontId="0" fillId="0" borderId="0" xfId="2" applyNumberFormat="1" applyFont="1" applyFill="1" applyAlignment="1">
      <alignment horizontal="left" vertical="top" wrapText="1"/>
    </xf>
    <xf numFmtId="0" fontId="17" fillId="0" borderId="0" xfId="0" applyFont="1" applyAlignment="1">
      <alignment horizontal="left" vertical="top" wrapText="1"/>
    </xf>
    <xf numFmtId="0" fontId="16" fillId="0" borderId="0" xfId="0" applyFont="1" applyAlignment="1">
      <alignment vertical="top" wrapText="1"/>
    </xf>
    <xf numFmtId="166" fontId="0" fillId="0" borderId="0" xfId="2" applyNumberFormat="1" applyFont="1" applyFill="1" applyBorder="1" applyAlignment="1">
      <alignment horizontal="left" vertical="top"/>
    </xf>
    <xf numFmtId="0" fontId="14" fillId="0" borderId="0" xfId="0" applyFont="1" applyAlignment="1">
      <alignment horizontal="left" vertical="top"/>
    </xf>
    <xf numFmtId="0" fontId="0" fillId="0" borderId="0" xfId="2" applyNumberFormat="1" applyFont="1" applyFill="1" applyAlignment="1">
      <alignment horizontal="left" vertical="top" wrapText="1"/>
    </xf>
    <xf numFmtId="0" fontId="16" fillId="0" borderId="0" xfId="0" applyFont="1" applyAlignment="1">
      <alignment horizontal="left" vertical="top" wrapText="1"/>
    </xf>
    <xf numFmtId="9" fontId="0" fillId="0" borderId="0" xfId="0" applyNumberFormat="1" applyAlignment="1">
      <alignment horizontal="left" vertical="top" wrapText="1"/>
    </xf>
    <xf numFmtId="0" fontId="1" fillId="0" borderId="0" xfId="0" applyFont="1" applyAlignment="1">
      <alignment horizontal="left" vertical="top"/>
    </xf>
    <xf numFmtId="0" fontId="14" fillId="0" borderId="0" xfId="0" applyFont="1" applyAlignment="1">
      <alignment vertical="top"/>
    </xf>
    <xf numFmtId="0" fontId="6" fillId="0" borderId="0" xfId="0" applyFont="1" applyAlignment="1">
      <alignment horizontal="left" vertical="top"/>
    </xf>
    <xf numFmtId="166" fontId="7" fillId="0" borderId="0" xfId="0" applyNumberFormat="1" applyFont="1" applyAlignment="1">
      <alignment vertical="top" wrapText="1"/>
    </xf>
    <xf numFmtId="0" fontId="20" fillId="0" borderId="0" xfId="0" applyFont="1" applyAlignment="1">
      <alignment vertical="top" wrapText="1"/>
    </xf>
    <xf numFmtId="166" fontId="14" fillId="0" borderId="0" xfId="0" applyNumberFormat="1" applyFont="1" applyAlignment="1">
      <alignment horizontal="center" vertical="top" wrapText="1"/>
    </xf>
    <xf numFmtId="49" fontId="0" fillId="0" borderId="0" xfId="2" applyNumberFormat="1" applyFont="1" applyFill="1" applyAlignment="1">
      <alignment horizontal="left" vertical="top" wrapText="1"/>
    </xf>
    <xf numFmtId="3" fontId="0" fillId="0" borderId="0" xfId="0" applyNumberFormat="1" applyAlignment="1">
      <alignment horizontal="left" vertical="top" wrapText="1"/>
    </xf>
    <xf numFmtId="166" fontId="22" fillId="0" borderId="0" xfId="0" applyNumberFormat="1" applyFont="1" applyAlignment="1">
      <alignment vertical="top"/>
    </xf>
    <xf numFmtId="8" fontId="21" fillId="0" borderId="0" xfId="0" applyNumberFormat="1" applyFont="1" applyAlignment="1">
      <alignment vertical="top"/>
    </xf>
    <xf numFmtId="166" fontId="0" fillId="0" borderId="0" xfId="2" applyNumberFormat="1" applyFont="1" applyFill="1" applyAlignment="1">
      <alignment horizontal="left" vertical="top"/>
    </xf>
    <xf numFmtId="0" fontId="16" fillId="0" borderId="2" xfId="0" applyFont="1" applyBorder="1" applyAlignment="1">
      <alignment horizontal="left" vertical="top" wrapText="1"/>
    </xf>
    <xf numFmtId="0" fontId="18" fillId="0" borderId="0" xfId="0" applyFont="1" applyAlignment="1">
      <alignment vertical="top" wrapText="1"/>
    </xf>
    <xf numFmtId="9" fontId="0" fillId="5" borderId="0" xfId="3" applyFont="1" applyFill="1" applyBorder="1" applyAlignment="1">
      <alignment horizontal="left" vertical="top" wrapText="1"/>
    </xf>
    <xf numFmtId="44" fontId="0" fillId="0" borderId="0" xfId="2" applyFont="1" applyFill="1" applyBorder="1" applyAlignment="1">
      <alignment horizontal="left" vertical="top"/>
    </xf>
    <xf numFmtId="44" fontId="2" fillId="5" borderId="0" xfId="2" applyFont="1" applyFill="1" applyBorder="1" applyAlignment="1">
      <alignment horizontal="left" vertical="top" wrapText="1"/>
    </xf>
    <xf numFmtId="44" fontId="0" fillId="5" borderId="0" xfId="2" applyFont="1" applyFill="1" applyBorder="1" applyAlignment="1">
      <alignment horizontal="left" vertical="top" wrapText="1"/>
    </xf>
    <xf numFmtId="165" fontId="0" fillId="5" borderId="0" xfId="3" applyNumberFormat="1" applyFont="1" applyFill="1" applyBorder="1" applyAlignment="1">
      <alignment horizontal="left" vertical="top" wrapText="1"/>
    </xf>
    <xf numFmtId="166" fontId="0" fillId="0" borderId="0" xfId="3" applyNumberFormat="1" applyFont="1" applyFill="1" applyBorder="1" applyAlignment="1">
      <alignment horizontal="left" vertical="top" wrapText="1"/>
    </xf>
    <xf numFmtId="44" fontId="0" fillId="5" borderId="0" xfId="2" applyFont="1" applyFill="1" applyBorder="1" applyAlignment="1">
      <alignment horizontal="left" vertical="top"/>
    </xf>
    <xf numFmtId="0" fontId="0" fillId="0" borderId="3" xfId="0" applyBorder="1" applyAlignment="1">
      <alignment horizontal="left" vertical="top" wrapText="1"/>
    </xf>
    <xf numFmtId="44" fontId="0" fillId="0" borderId="0" xfId="2" applyFont="1" applyFill="1" applyBorder="1" applyAlignment="1">
      <alignment horizontal="left" vertical="top" wrapText="1"/>
    </xf>
    <xf numFmtId="43" fontId="0" fillId="0" borderId="0" xfId="3" applyNumberFormat="1" applyFont="1" applyFill="1" applyBorder="1" applyAlignment="1">
      <alignment horizontal="left" vertical="top" wrapText="1"/>
    </xf>
    <xf numFmtId="49" fontId="0" fillId="0" borderId="0" xfId="0" applyNumberFormat="1" applyAlignment="1">
      <alignment horizontal="left" vertical="top" wrapText="1"/>
    </xf>
    <xf numFmtId="43" fontId="0" fillId="0" borderId="0" xfId="3" applyNumberFormat="1" applyFont="1" applyFill="1" applyAlignment="1">
      <alignment horizontal="left" vertical="top" wrapText="1"/>
    </xf>
    <xf numFmtId="14" fontId="9" fillId="0" borderId="0" xfId="0" applyNumberFormat="1" applyFont="1" applyAlignment="1">
      <alignment horizontal="left" vertical="top" wrapText="1"/>
    </xf>
    <xf numFmtId="14" fontId="12" fillId="0" borderId="0" xfId="0" applyNumberFormat="1" applyFont="1" applyAlignment="1">
      <alignment horizontal="left" vertical="top" wrapText="1"/>
    </xf>
    <xf numFmtId="14" fontId="11" fillId="0" borderId="0" xfId="0" applyNumberFormat="1" applyFont="1" applyAlignment="1">
      <alignment horizontal="left" vertical="top" wrapText="1"/>
    </xf>
    <xf numFmtId="0" fontId="10" fillId="0" borderId="0" xfId="0" applyFont="1" applyAlignment="1">
      <alignment horizontal="left" vertical="top" wrapText="1"/>
    </xf>
    <xf numFmtId="0" fontId="1" fillId="0" borderId="0" xfId="0" applyFont="1" applyAlignment="1">
      <alignment horizontal="left" vertical="top" wrapText="1"/>
    </xf>
    <xf numFmtId="14" fontId="0" fillId="0" borderId="0" xfId="0" applyNumberFormat="1" applyAlignment="1">
      <alignment vertical="top" wrapText="1"/>
    </xf>
    <xf numFmtId="0" fontId="0" fillId="0" borderId="0" xfId="0" applyAlignment="1">
      <alignment horizontal="center" vertical="top" wrapText="1"/>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vertical="top" wrapText="1"/>
    </xf>
    <xf numFmtId="1" fontId="0" fillId="0" borderId="1" xfId="0" applyNumberFormat="1" applyBorder="1" applyAlignment="1">
      <alignment vertical="top" wrapText="1"/>
    </xf>
    <xf numFmtId="9" fontId="0" fillId="0" borderId="1" xfId="3" applyFont="1" applyFill="1" applyBorder="1" applyAlignment="1">
      <alignment vertical="top" wrapText="1"/>
    </xf>
    <xf numFmtId="44" fontId="2" fillId="0" borderId="1" xfId="2" applyFont="1" applyFill="1" applyBorder="1" applyAlignment="1">
      <alignment vertical="top" wrapText="1"/>
    </xf>
    <xf numFmtId="44" fontId="0" fillId="0" borderId="1" xfId="2" applyFont="1" applyBorder="1" applyAlignment="1">
      <alignment horizontal="left" vertical="top" wrapText="1"/>
    </xf>
    <xf numFmtId="44" fontId="0" fillId="0" borderId="1" xfId="2" applyFont="1" applyFill="1" applyBorder="1" applyAlignment="1">
      <alignment vertical="top"/>
    </xf>
    <xf numFmtId="10" fontId="0" fillId="0" borderId="1" xfId="3" applyNumberFormat="1" applyFont="1" applyFill="1" applyBorder="1" applyAlignment="1">
      <alignment vertical="top" wrapText="1"/>
    </xf>
    <xf numFmtId="0" fontId="0" fillId="0" borderId="1" xfId="0" applyBorder="1" applyAlignment="1">
      <alignment horizontal="center" vertical="top" wrapText="1"/>
    </xf>
    <xf numFmtId="9" fontId="0" fillId="0" borderId="0" xfId="3" applyFont="1" applyFill="1"/>
    <xf numFmtId="43" fontId="0" fillId="0" borderId="0" xfId="1" applyFont="1" applyFill="1"/>
    <xf numFmtId="44" fontId="8" fillId="6" borderId="0" xfId="2" applyFont="1" applyFill="1" applyAlignment="1">
      <alignment horizontal="left" vertical="center"/>
    </xf>
    <xf numFmtId="0" fontId="1" fillId="0" borderId="0" xfId="0" applyFont="1" applyAlignment="1">
      <alignment vertical="center" wrapText="1"/>
    </xf>
    <xf numFmtId="14" fontId="0" fillId="0" borderId="0" xfId="0" applyNumberFormat="1" applyAlignment="1">
      <alignment vertical="center"/>
    </xf>
    <xf numFmtId="0" fontId="0" fillId="0" borderId="0" xfId="0" applyAlignment="1">
      <alignment vertical="center"/>
    </xf>
    <xf numFmtId="0" fontId="0" fillId="5" borderId="0" xfId="0" applyFill="1" applyAlignment="1">
      <alignment vertical="center"/>
    </xf>
    <xf numFmtId="44" fontId="0" fillId="0" borderId="0" xfId="2" applyFont="1" applyFill="1" applyBorder="1" applyAlignment="1">
      <alignment vertical="center"/>
    </xf>
    <xf numFmtId="0" fontId="0" fillId="0" borderId="0" xfId="0" applyAlignment="1">
      <alignment horizontal="left" vertical="center" wrapText="1"/>
    </xf>
    <xf numFmtId="0" fontId="0" fillId="0" borderId="0" xfId="0" applyAlignment="1">
      <alignment vertical="center" wrapText="1"/>
    </xf>
    <xf numFmtId="166" fontId="0" fillId="0" borderId="0" xfId="0" applyNumberFormat="1" applyAlignment="1">
      <alignment vertical="center"/>
    </xf>
    <xf numFmtId="44" fontId="0" fillId="0" borderId="0" xfId="2" applyFont="1" applyAlignment="1">
      <alignment vertical="center"/>
    </xf>
    <xf numFmtId="44" fontId="0" fillId="0" borderId="0" xfId="2" applyFont="1" applyBorder="1" applyAlignment="1">
      <alignment vertical="center"/>
    </xf>
    <xf numFmtId="0" fontId="0" fillId="0" borderId="0" xfId="2" applyNumberFormat="1" applyFont="1" applyBorder="1" applyAlignment="1">
      <alignment vertical="center" wrapText="1"/>
    </xf>
    <xf numFmtId="2" fontId="0" fillId="0" borderId="0" xfId="0" applyNumberFormat="1" applyAlignment="1">
      <alignment horizontal="center" vertical="center"/>
    </xf>
    <xf numFmtId="44" fontId="0" fillId="0" borderId="0" xfId="2" applyFont="1" applyBorder="1" applyAlignment="1">
      <alignment horizontal="center" vertical="center"/>
    </xf>
    <xf numFmtId="0" fontId="1" fillId="4"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166" fontId="15" fillId="3" borderId="0" xfId="0" applyNumberFormat="1" applyFont="1" applyFill="1" applyAlignment="1">
      <alignment vertical="center" wrapText="1"/>
    </xf>
    <xf numFmtId="44" fontId="1" fillId="3" borderId="0" xfId="2" applyFont="1" applyFill="1" applyBorder="1" applyAlignment="1">
      <alignment vertical="center" wrapText="1"/>
    </xf>
    <xf numFmtId="0" fontId="1" fillId="3" borderId="0" xfId="2" applyNumberFormat="1" applyFont="1" applyFill="1" applyBorder="1" applyAlignment="1">
      <alignment vertical="center" wrapText="1"/>
    </xf>
    <xf numFmtId="44" fontId="1" fillId="0" borderId="0" xfId="2" applyFont="1" applyBorder="1" applyAlignment="1">
      <alignment horizontal="center" vertical="center" wrapText="1"/>
    </xf>
    <xf numFmtId="0" fontId="1" fillId="7" borderId="0" xfId="0" applyFont="1" applyFill="1" applyAlignment="1">
      <alignment horizontal="center" vertical="center" wrapText="1"/>
    </xf>
    <xf numFmtId="0" fontId="3" fillId="0" borderId="0" xfId="0" applyFont="1" applyAlignment="1">
      <alignment vertical="center" wrapText="1"/>
    </xf>
    <xf numFmtId="0" fontId="0" fillId="0" borderId="0" xfId="0" applyAlignment="1">
      <alignment horizontal="left" vertical="center"/>
    </xf>
    <xf numFmtId="14" fontId="0" fillId="0" borderId="0" xfId="0" applyNumberFormat="1" applyAlignment="1">
      <alignment horizontal="left" vertical="center" wrapText="1"/>
    </xf>
    <xf numFmtId="1" fontId="0" fillId="5" borderId="0" xfId="0" applyNumberFormat="1" applyFill="1" applyAlignment="1">
      <alignment horizontal="left" vertical="center" wrapText="1"/>
    </xf>
    <xf numFmtId="9" fontId="0" fillId="5" borderId="0" xfId="3" applyFont="1" applyFill="1" applyBorder="1" applyAlignment="1">
      <alignment horizontal="left" vertical="center" wrapText="1"/>
    </xf>
    <xf numFmtId="44" fontId="0" fillId="5" borderId="0" xfId="2" applyFont="1" applyFill="1" applyAlignment="1">
      <alignment horizontal="left" vertical="center" wrapText="1"/>
    </xf>
    <xf numFmtId="0" fontId="17" fillId="0" borderId="0" xfId="0" applyFont="1" applyAlignment="1">
      <alignment horizontal="left" vertical="center" wrapText="1"/>
    </xf>
    <xf numFmtId="0" fontId="14" fillId="0" borderId="3" xfId="0" applyFont="1" applyBorder="1" applyAlignment="1">
      <alignment vertical="center" wrapText="1"/>
    </xf>
    <xf numFmtId="44" fontId="8" fillId="6" borderId="0" xfId="2" applyFont="1" applyFill="1" applyBorder="1" applyAlignment="1">
      <alignment horizontal="left" vertical="center"/>
    </xf>
    <xf numFmtId="44" fontId="2" fillId="5" borderId="0" xfId="2" applyFont="1" applyFill="1" applyBorder="1" applyAlignment="1">
      <alignment horizontal="left" vertical="center" wrapText="1"/>
    </xf>
    <xf numFmtId="44" fontId="0" fillId="5" borderId="0" xfId="2" applyFont="1" applyFill="1" applyBorder="1" applyAlignment="1">
      <alignment horizontal="left" vertical="center" wrapText="1"/>
    </xf>
    <xf numFmtId="165" fontId="0" fillId="5" borderId="0" xfId="3" applyNumberFormat="1" applyFont="1" applyFill="1" applyBorder="1" applyAlignment="1">
      <alignment horizontal="left" vertical="center" wrapText="1"/>
    </xf>
    <xf numFmtId="44" fontId="0" fillId="5" borderId="0" xfId="2" applyFont="1" applyFill="1" applyBorder="1" applyAlignment="1">
      <alignment horizontal="left" vertical="center"/>
    </xf>
    <xf numFmtId="0" fontId="0" fillId="0" borderId="0" xfId="2" applyNumberFormat="1" applyFont="1" applyFill="1" applyBorder="1" applyAlignment="1">
      <alignment horizontal="left" vertical="center" wrapText="1"/>
    </xf>
    <xf numFmtId="44" fontId="0" fillId="0" borderId="0" xfId="2" applyFont="1" applyFill="1" applyAlignment="1">
      <alignment horizontal="left" vertical="center"/>
    </xf>
    <xf numFmtId="0" fontId="14" fillId="0" borderId="0" xfId="0" applyFont="1" applyAlignment="1">
      <alignmen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Alignment="1" applyProtection="1">
      <alignment vertical="center"/>
      <protection locked="0"/>
    </xf>
    <xf numFmtId="0" fontId="1" fillId="3" borderId="0" xfId="0" applyFont="1" applyFill="1" applyAlignment="1" applyProtection="1">
      <alignment vertical="center" wrapText="1"/>
      <protection locked="0"/>
    </xf>
    <xf numFmtId="0" fontId="0" fillId="0" borderId="0" xfId="0"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0" fillId="0" borderId="0" xfId="0" applyAlignment="1" applyProtection="1">
      <alignment vertical="top" wrapText="1"/>
      <protection locked="0"/>
    </xf>
    <xf numFmtId="44" fontId="8" fillId="0" borderId="0" xfId="2" applyFont="1" applyFill="1" applyAlignment="1">
      <alignment horizontal="left" vertical="center" wrapText="1"/>
    </xf>
    <xf numFmtId="44" fontId="0" fillId="0" borderId="0" xfId="2" applyFont="1" applyFill="1" applyBorder="1" applyAlignment="1">
      <alignment horizontal="left" vertical="center"/>
    </xf>
    <xf numFmtId="44" fontId="8" fillId="0" borderId="0" xfId="2" applyFont="1" applyFill="1" applyAlignment="1">
      <alignment horizontal="left" vertical="center"/>
    </xf>
    <xf numFmtId="44" fontId="0" fillId="0" borderId="0" xfId="2" applyFont="1"/>
    <xf numFmtId="0" fontId="1" fillId="6" borderId="0" xfId="0" applyFont="1" applyFill="1" applyAlignment="1">
      <alignment vertical="center" wrapText="1"/>
    </xf>
    <xf numFmtId="0" fontId="1" fillId="6" borderId="0" xfId="0" applyFont="1" applyFill="1" applyAlignment="1">
      <alignment horizontal="left" vertical="center" wrapText="1"/>
    </xf>
    <xf numFmtId="44" fontId="14" fillId="0" borderId="0" xfId="2" applyFont="1" applyAlignment="1">
      <alignment vertical="top" wrapText="1"/>
    </xf>
    <xf numFmtId="44" fontId="17" fillId="0" borderId="0" xfId="2" applyFont="1" applyAlignment="1">
      <alignment vertical="top"/>
    </xf>
    <xf numFmtId="166" fontId="17" fillId="0" borderId="0" xfId="2" applyNumberFormat="1" applyFont="1" applyAlignment="1">
      <alignment vertical="top"/>
    </xf>
    <xf numFmtId="44" fontId="0" fillId="7" borderId="0" xfId="2" applyFont="1" applyFill="1" applyBorder="1" applyAlignment="1">
      <alignment horizontal="left" vertical="top"/>
    </xf>
    <xf numFmtId="44" fontId="0" fillId="3" borderId="0" xfId="2" applyFont="1" applyFill="1" applyBorder="1" applyAlignment="1">
      <alignment vertical="center"/>
    </xf>
    <xf numFmtId="0" fontId="14" fillId="0" borderId="0" xfId="0" applyFont="1" applyAlignment="1">
      <alignment horizontal="left" vertical="top" wrapText="1"/>
    </xf>
    <xf numFmtId="0" fontId="0" fillId="8" borderId="0" xfId="0" applyFill="1" applyAlignment="1">
      <alignment horizontal="left" vertical="top"/>
    </xf>
    <xf numFmtId="0" fontId="0" fillId="8" borderId="0" xfId="0" applyFill="1" applyAlignment="1">
      <alignment horizontal="left" vertical="top" wrapText="1"/>
    </xf>
    <xf numFmtId="0" fontId="24" fillId="0" borderId="0" xfId="0" applyFont="1" applyAlignment="1">
      <alignment horizontal="left" vertical="top" wrapText="1"/>
    </xf>
    <xf numFmtId="44" fontId="14" fillId="0" borderId="0" xfId="2" applyFont="1" applyFill="1" applyAlignment="1">
      <alignment vertical="top" wrapText="1"/>
    </xf>
    <xf numFmtId="44" fontId="17" fillId="0" borderId="0" xfId="2" applyFont="1" applyFill="1" applyAlignment="1">
      <alignment vertical="top"/>
    </xf>
    <xf numFmtId="166" fontId="25" fillId="0" borderId="0" xfId="2" applyNumberFormat="1" applyFont="1" applyAlignment="1">
      <alignment vertical="top"/>
    </xf>
    <xf numFmtId="1" fontId="0" fillId="0" borderId="0" xfId="0" applyNumberFormat="1" applyAlignment="1">
      <alignment horizontal="left" vertical="top" wrapText="1"/>
    </xf>
    <xf numFmtId="9" fontId="0" fillId="0" borderId="0" xfId="3" applyFont="1" applyFill="1" applyAlignment="1">
      <alignment horizontal="left" vertical="top" wrapText="1"/>
    </xf>
    <xf numFmtId="0" fontId="26" fillId="0" borderId="0" xfId="0" applyFont="1" applyAlignment="1">
      <alignment wrapText="1"/>
    </xf>
    <xf numFmtId="0" fontId="24" fillId="7" borderId="0" xfId="0" applyFont="1" applyFill="1" applyAlignment="1">
      <alignment horizontal="left" vertical="top" wrapText="1"/>
    </xf>
    <xf numFmtId="0" fontId="27" fillId="0" borderId="0" xfId="0" applyFont="1" applyAlignment="1">
      <alignment vertical="top" wrapText="1"/>
    </xf>
  </cellXfs>
  <cellStyles count="4">
    <cellStyle name="Comma" xfId="1" builtinId="3"/>
    <cellStyle name="Currency" xfId="2" builtinId="4"/>
    <cellStyle name="Normal" xfId="0" builtinId="0"/>
    <cellStyle name="Percent" xfId="3" builtinId="5"/>
  </cellStyles>
  <dxfs count="5">
    <dxf>
      <numFmt numFmtId="35" formatCode="_(* #,##0.00_);_(* \(#,##0.00\);_(* &quot;-&quot;??_);_(@_)"/>
    </dxf>
    <dxf>
      <numFmt numFmtId="35" formatCode="_(* #,##0.00_);_(* \(#,##0.00\);_(* &quot;-&quot;??_);_(@_)"/>
    </dxf>
    <dxf>
      <numFmt numFmtId="35" formatCode="_(* #,##0.00_);_(* \(#,##0.00\);_(* &quot;-&quot;??_);_(@_)"/>
    </dxf>
    <dxf>
      <font>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000000"/>
      <color rgb="FFFFFFCC"/>
      <color rgb="FF1D58A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BUDGETED BY AREA SERVED</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2FDF-41A2-A725-3235DE2FB77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2FDF-41A2-A725-3235DE2FB774}"/>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2FDF-41A2-A725-3235DE2FB774}"/>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2FDF-41A2-A725-3235DE2FB774}"/>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ACBB-4167-9D3B-5B35923294E0}"/>
              </c:ext>
            </c:extLst>
          </c:dPt>
          <c:dLbls>
            <c:dLbl>
              <c:idx val="0"/>
              <c:layout>
                <c:manualLayout>
                  <c:x val="0.16244065505435623"/>
                  <c:y val="0.1164790216760379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Urban (Clark) </a:t>
                    </a:r>
                    <a:fld id="{1746CB92-6257-4468-9FC8-9D5EE74FC412}" type="VALUE">
                      <a:rPr lang="en-US"/>
                      <a:pPr>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2FDF-41A2-A725-3235DE2FB774}"/>
                </c:ext>
              </c:extLst>
            </c:dLbl>
            <c:dLbl>
              <c:idx val="1"/>
              <c:layout>
                <c:manualLayout>
                  <c:x val="0.13222672864109369"/>
                  <c:y val="0.18402095780296324"/>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Rural </a:t>
                    </a:r>
                  </a:p>
                  <a:p>
                    <a:pPr>
                      <a:defRPr>
                        <a:solidFill>
                          <a:schemeClr val="accent1"/>
                        </a:solidFill>
                      </a:defRPr>
                    </a:pPr>
                    <a:fld id="{A8922C22-D154-414A-A3FA-D802E35C0056}" type="VALUE">
                      <a:rPr lang="en-US"/>
                      <a:pPr>
                        <a:defRPr>
                          <a:solidFill>
                            <a:schemeClr val="accent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2FDF-41A2-A725-3235DE2FB774}"/>
                </c:ext>
              </c:extLst>
            </c:dLbl>
            <c:dLbl>
              <c:idx val="2"/>
              <c:layout>
                <c:manualLayout>
                  <c:x val="-0.14802222656543873"/>
                  <c:y val="-0.24000114331279279"/>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Statewide</a:t>
                    </a:r>
                  </a:p>
                  <a:p>
                    <a:pPr>
                      <a:defRPr>
                        <a:solidFill>
                          <a:schemeClr val="accent1"/>
                        </a:solidFill>
                      </a:defRPr>
                    </a:pPr>
                    <a:fld id="{4F9B9AD6-2E9C-431F-A1EC-B69593BE8B01}" type="VALUE">
                      <a:rPr lang="en-US"/>
                      <a:pPr>
                        <a:defRPr>
                          <a:solidFill>
                            <a:schemeClr val="accent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2FDF-41A2-A725-3235DE2FB774}"/>
                </c:ext>
              </c:extLst>
            </c:dLbl>
            <c:dLbl>
              <c:idx val="3"/>
              <c:layout>
                <c:manualLayout>
                  <c:x val="-0.3307166891103045"/>
                  <c:y val="5.409738386580439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Urban (Washoe) </a:t>
                    </a:r>
                    <a:fld id="{D725F9B5-955D-4E15-9D83-0348F7911C42}" type="VALUE">
                      <a:rPr lang="en-US"/>
                      <a:pPr>
                        <a:defRPr>
                          <a:solidFill>
                            <a:schemeClr val="accent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2FDF-41A2-A725-3235DE2FB774}"/>
                </c:ext>
              </c:extLst>
            </c:dLbl>
            <c:dLbl>
              <c:idx val="4"/>
              <c:layout>
                <c:manualLayout>
                  <c:x val="0.17178637690424292"/>
                  <c:y val="7.2083672907004695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Urban (Clark/Washoe) </a:t>
                    </a:r>
                    <a:fld id="{073A3A03-FA5C-4A41-8A58-A771388D2EC9}" type="VALUE">
                      <a:rPr lang="en-US"/>
                      <a:pPr>
                        <a:defRPr>
                          <a:solidFill>
                            <a:schemeClr val="accent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ACBB-4167-9D3B-5B35923294E0}"/>
                </c:ext>
              </c:extLst>
            </c:dLbl>
            <c:spPr>
              <a:noFill/>
              <a:ln>
                <a:noFill/>
              </a:ln>
              <a:effectLst/>
            </c:sp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Charts!$B$4:$B$8</c:f>
              <c:strCache>
                <c:ptCount val="5"/>
                <c:pt idx="0">
                  <c:v>Clark</c:v>
                </c:pt>
                <c:pt idx="1">
                  <c:v>Rural</c:v>
                </c:pt>
                <c:pt idx="2">
                  <c:v>Statewide</c:v>
                </c:pt>
                <c:pt idx="3">
                  <c:v>Washoe</c:v>
                </c:pt>
                <c:pt idx="4">
                  <c:v>Urban (Clark/Washoe)</c:v>
                </c:pt>
              </c:strCache>
            </c:strRef>
          </c:cat>
          <c:val>
            <c:numRef>
              <c:f>Charts!$D$4:$D$8</c:f>
              <c:numCache>
                <c:formatCode>0.0%</c:formatCode>
                <c:ptCount val="5"/>
                <c:pt idx="0">
                  <c:v>0.1398229025190284</c:v>
                </c:pt>
                <c:pt idx="1">
                  <c:v>1.6144690305203845E-2</c:v>
                </c:pt>
                <c:pt idx="2">
                  <c:v>0.80837468101642196</c:v>
                </c:pt>
                <c:pt idx="3">
                  <c:v>2.8155304214192677E-2</c:v>
                </c:pt>
                <c:pt idx="4">
                  <c:v>7.5024219451530648E-3</c:v>
                </c:pt>
              </c:numCache>
            </c:numRef>
          </c:val>
          <c:extLst>
            <c:ext xmlns:c16="http://schemas.microsoft.com/office/drawing/2014/chart" uri="{C3380CC4-5D6E-409C-BE32-E72D297353CC}">
              <c16:uniqueId val="{00000001-2FDF-41A2-A725-3235DE2FB774}"/>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2FDF-41A2-A725-3235DE2FB774}"/>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2FDF-41A2-A725-3235DE2FB774}"/>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2FDF-41A2-A725-3235DE2FB774}"/>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2FDF-41A2-A725-3235DE2FB774}"/>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ACBB-4167-9D3B-5B35923294E0}"/>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2-2FDF-41A2-A725-3235DE2FB774}"/>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3-2FDF-41A2-A725-3235DE2FB77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4-2FDF-41A2-A725-3235DE2FB774}"/>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05-2FDF-41A2-A725-3235DE2FB774}"/>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bestFit"/>
                    <c:showLegendKey val="0"/>
                    <c:showVal val="1"/>
                    <c:showCatName val="0"/>
                    <c:showSerName val="0"/>
                    <c:showPercent val="0"/>
                    <c:showBubbleSize val="0"/>
                    <c:extLst>
                      <c:ext xmlns:c16="http://schemas.microsoft.com/office/drawing/2014/chart" uri="{C3380CC4-5D6E-409C-BE32-E72D297353CC}">
                        <c16:uniqueId val="{00000010-ACBB-4167-9D3B-5B35923294E0}"/>
                      </c:ext>
                    </c:extLst>
                  </c:dLbl>
                  <c:spPr>
                    <a:noFill/>
                    <a:ln>
                      <a:noFill/>
                    </a:ln>
                    <a:effectLst/>
                  </c:sp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Charts!$B$4:$B$8</c15:sqref>
                        </c15:formulaRef>
                      </c:ext>
                    </c:extLst>
                    <c:strCache>
                      <c:ptCount val="5"/>
                      <c:pt idx="0">
                        <c:v>Clark</c:v>
                      </c:pt>
                      <c:pt idx="1">
                        <c:v>Rural</c:v>
                      </c:pt>
                      <c:pt idx="2">
                        <c:v>Statewide</c:v>
                      </c:pt>
                      <c:pt idx="3">
                        <c:v>Washoe</c:v>
                      </c:pt>
                      <c:pt idx="4">
                        <c:v>Urban (Clark/Washoe)</c:v>
                      </c:pt>
                    </c:strCache>
                  </c:strRef>
                </c:cat>
                <c:val>
                  <c:numRef>
                    <c:extLst>
                      <c:ext uri="{02D57815-91ED-43cb-92C2-25804820EDAC}">
                        <c15:formulaRef>
                          <c15:sqref>Charts!$C$4:$C$8</c15:sqref>
                        </c15:formulaRef>
                      </c:ext>
                    </c:extLst>
                    <c:numCache>
                      <c:formatCode>_(* #,##0.00_);_(* \(#,##0.00\);_(* "-"??_);_(@_)</c:formatCode>
                      <c:ptCount val="5"/>
                      <c:pt idx="0">
                        <c:v>72463812.390000001</c:v>
                      </c:pt>
                      <c:pt idx="1">
                        <c:v>8367054.2400000002</c:v>
                      </c:pt>
                      <c:pt idx="2">
                        <c:v>418943607.74000001</c:v>
                      </c:pt>
                      <c:pt idx="3">
                        <c:v>14591605.85</c:v>
                      </c:pt>
                      <c:pt idx="4">
                        <c:v>3888162</c:v>
                      </c:pt>
                    </c:numCache>
                  </c:numRef>
                </c:val>
                <c:extLst>
                  <c:ext xmlns:c16="http://schemas.microsoft.com/office/drawing/2014/chart" uri="{C3380CC4-5D6E-409C-BE32-E72D297353CC}">
                    <c16:uniqueId val="{00000000-2FDF-41A2-A725-3235DE2FB774}"/>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BUDGETED</a:t>
            </a:r>
            <a:r>
              <a:rPr lang="en-US" baseline="0"/>
              <a:t> BY TOPIC</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A2B6-47CA-817C-ED4FC7E696A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A2B6-47CA-817C-ED4FC7E696A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A2B6-47CA-817C-ED4FC7E696AF}"/>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A2B6-47CA-817C-ED4FC7E696AF}"/>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A2B6-47CA-817C-ED4FC7E696A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A2B6-47CA-817C-ED4FC7E696AF}"/>
              </c:ext>
            </c:extLst>
          </c:dPt>
          <c:dLbls>
            <c:dLbl>
              <c:idx val="0"/>
              <c:layout>
                <c:manualLayout>
                  <c:x val="4.8531289910600163E-2"/>
                  <c:y val="7.1174350632125349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6B23E4E0-B484-404D-80B3-A37E8B004D40}" type="CATEGORYNAME">
                      <a:rPr lang="en-US"/>
                      <a:pPr>
                        <a:defRPr/>
                      </a:pPr>
                      <a:t>[CATEGORY NAME]</a:t>
                    </a:fld>
                    <a:r>
                      <a:rPr lang="en-US" baseline="0"/>
                      <a:t>
21.7%</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A2B6-47CA-817C-ED4FC7E696AF}"/>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0924D377-CD2A-486A-86A5-61BDAAD7BED6}" type="CATEGORYNAME">
                      <a:rPr lang="en-US"/>
                      <a:pPr>
                        <a:defRPr>
                          <a:solidFill>
                            <a:schemeClr val="accent1"/>
                          </a:solidFill>
                        </a:defRPr>
                      </a:pPr>
                      <a:t>[CATEGORY NAME]</a:t>
                    </a:fld>
                    <a:r>
                      <a:rPr lang="en-US" baseline="0"/>
                      <a:t>
15.4%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A2B6-47CA-817C-ED4FC7E696AF}"/>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ABAC176-6F5C-4472-B78A-7E36C7E70E74}" type="CATEGORYNAME">
                      <a:rPr lang="en-US"/>
                      <a:pPr>
                        <a:defRPr>
                          <a:solidFill>
                            <a:schemeClr val="accent1"/>
                          </a:solidFill>
                        </a:defRPr>
                      </a:pPr>
                      <a:t>[CATEGORY NAME]</a:t>
                    </a:fld>
                    <a:r>
                      <a:rPr lang="en-US" baseline="0"/>
                      <a:t>
33.9%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A2B6-47CA-817C-ED4FC7E696AF}"/>
                </c:ext>
              </c:extLst>
            </c:dLbl>
            <c:dLbl>
              <c:idx val="3"/>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740D6F1-0709-4542-8512-53B34DAECDCD}" type="CATEGORYNAME">
                      <a:rPr lang="en-US"/>
                      <a:pPr>
                        <a:defRPr>
                          <a:solidFill>
                            <a:schemeClr val="accent1"/>
                          </a:solidFill>
                        </a:defRPr>
                      </a:pPr>
                      <a:t>[CATEGORY NAME]</a:t>
                    </a:fld>
                    <a:r>
                      <a:rPr lang="en-US" baseline="0"/>
                      <a:t>
13.8%</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2B6-47CA-817C-ED4FC7E696AF}"/>
                </c:ext>
              </c:extLst>
            </c:dLbl>
            <c:dLbl>
              <c:idx val="4"/>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8965A7B-7954-447D-A731-D0808C1B540F}" type="CATEGORYNAME">
                      <a:rPr lang="en-US"/>
                      <a:pPr>
                        <a:defRPr>
                          <a:solidFill>
                            <a:schemeClr val="accent1"/>
                          </a:solidFill>
                        </a:defRPr>
                      </a:pPr>
                      <a:t>[CATEGORY NAME]</a:t>
                    </a:fld>
                    <a:r>
                      <a:rPr lang="en-US" baseline="0"/>
                      <a:t>
3.5%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A2B6-47CA-817C-ED4FC7E696AF}"/>
                </c:ext>
              </c:extLst>
            </c:dLbl>
            <c:dLbl>
              <c:idx val="5"/>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F3FCA1C-AB61-4B48-8CD5-B5C872972EEA}" type="CATEGORYNAME">
                      <a:rPr lang="en-US"/>
                      <a:pPr>
                        <a:defRPr>
                          <a:solidFill>
                            <a:schemeClr val="accent1"/>
                          </a:solidFill>
                        </a:defRPr>
                      </a:pPr>
                      <a:t>[CATEGORY NAME]</a:t>
                    </a:fld>
                    <a:r>
                      <a:rPr lang="en-US" baseline="0"/>
                      <a:t>
11.6%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A2B6-47CA-817C-ED4FC7E696AF}"/>
                </c:ext>
              </c:extLst>
            </c:dLbl>
            <c:spPr>
              <a:solidFill>
                <a:sysClr val="window" lastClr="FFFFFF"/>
              </a:solidFill>
              <a:ln>
                <a:solidFill>
                  <a:srgbClr val="ED7D31"/>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Charts!$B$27:$B$32</c:f>
              <c:strCache>
                <c:ptCount val="6"/>
                <c:pt idx="0">
                  <c:v>Behavioral Health (Adult/Children)</c:v>
                </c:pt>
                <c:pt idx="1">
                  <c:v>Child Care</c:v>
                </c:pt>
                <c:pt idx="2">
                  <c:v>Infrastructure</c:v>
                </c:pt>
                <c:pt idx="3">
                  <c:v>Public Health</c:v>
                </c:pt>
                <c:pt idx="4">
                  <c:v>Social Services</c:v>
                </c:pt>
                <c:pt idx="5">
                  <c:v>Workforce</c:v>
                </c:pt>
              </c:strCache>
            </c:strRef>
          </c:cat>
          <c:val>
            <c:numRef>
              <c:f>Charts!$D$27:$D$32</c:f>
              <c:numCache>
                <c:formatCode>0.0%</c:formatCode>
                <c:ptCount val="6"/>
                <c:pt idx="0">
                  <c:v>0.21781927452526237</c:v>
                </c:pt>
                <c:pt idx="1">
                  <c:v>0.15444983075704577</c:v>
                </c:pt>
                <c:pt idx="2">
                  <c:v>0.34032032394851008</c:v>
                </c:pt>
                <c:pt idx="3">
                  <c:v>0.13869171401685862</c:v>
                </c:pt>
                <c:pt idx="4">
                  <c:v>3.5549784235396668E-2</c:v>
                </c:pt>
                <c:pt idx="5">
                  <c:v>0.11316907251692655</c:v>
                </c:pt>
              </c:numCache>
            </c:numRef>
          </c:val>
          <c:extLst>
            <c:ext xmlns:c16="http://schemas.microsoft.com/office/drawing/2014/chart" uri="{C3380CC4-5D6E-409C-BE32-E72D297353CC}">
              <c16:uniqueId val="{00000001-A2B6-47CA-817C-ED4FC7E696AF}"/>
            </c:ext>
          </c:extLst>
        </c:ser>
        <c:dLbls>
          <c:showLegendKey val="0"/>
          <c:showVal val="0"/>
          <c:showCatName val="0"/>
          <c:showSerName val="0"/>
          <c:showPercent val="0"/>
          <c:showBubbleSize val="0"/>
          <c:showLeaderLines val="0"/>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A2B6-47CA-817C-ED4FC7E696AF}"/>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2B6-47CA-817C-ED4FC7E696A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A2B6-47CA-817C-ED4FC7E696AF}"/>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2B6-47CA-817C-ED4FC7E696AF}"/>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A2B6-47CA-817C-ED4FC7E696AF}"/>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A2B6-47CA-817C-ED4FC7E696AF}"/>
                    </c:ext>
                  </c:extLst>
                </c:dPt>
                <c:dLbls>
                  <c:dLbl>
                    <c:idx val="0"/>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4FCCBA85-D5A4-4A40-B9F5-E0425AAA5B74}" type="CATEGORYNAME">
                            <a:rPr lang="en-US"/>
                            <a:pPr>
                              <a:defRPr/>
                            </a:pPr>
                            <a:t>[CATEGORY NAME]</a:t>
                          </a:fld>
                          <a:r>
                            <a:rPr lang="en-US"/>
                            <a:t> 24%</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layout>
                          <c:manualLayout>
                            <c:w val="0.25527729120253051"/>
                            <c:h val="0.24113869994164078"/>
                          </c:manualLayout>
                        </c15:layout>
                        <c15:dlblFieldTable/>
                        <c15:showDataLabelsRange val="0"/>
                      </c:ext>
                      <c:ext xmlns:c16="http://schemas.microsoft.com/office/drawing/2014/chart" uri="{C3380CC4-5D6E-409C-BE32-E72D297353CC}">
                        <c16:uniqueId val="{00000002-A2B6-47CA-817C-ED4FC7E696AF}"/>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FE0F5512-6811-4587-B791-ABF5A2503BA8}" type="CATEGORYNAME">
                            <a:rPr lang="en-US"/>
                            <a:pPr>
                              <a:defRPr>
                                <a:solidFill>
                                  <a:schemeClr val="accent1"/>
                                </a:solidFill>
                              </a:defRPr>
                            </a:pPr>
                            <a:t>[CATEGORY NAME]</a:t>
                          </a:fld>
                          <a:r>
                            <a:rPr lang="en-US"/>
                            <a:t>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3-A2B6-47CA-817C-ED4FC7E696AF}"/>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1E2C140-0242-4DBD-A3F3-982A3C02DE40}" type="CATEGORYNAME">
                            <a:rPr lang="en-US"/>
                            <a:pPr>
                              <a:defRPr>
                                <a:solidFill>
                                  <a:schemeClr val="accent1"/>
                                </a:solidFill>
                              </a:defRPr>
                            </a:pPr>
                            <a:t>[CATEGORY NAME]</a:t>
                          </a:fld>
                          <a:r>
                            <a:rPr lang="en-US"/>
                            <a:t> 34%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4-A2B6-47CA-817C-ED4FC7E696AF}"/>
                      </c:ext>
                    </c:extLst>
                  </c:dLbl>
                  <c:dLbl>
                    <c:idx val="3"/>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A57C8582-03A1-4333-8A04-87404DFD4DD5}" type="CATEGORYNAME">
                            <a:rPr lang="en-US"/>
                            <a:pPr>
                              <a:defRPr>
                                <a:solidFill>
                                  <a:schemeClr val="accent1"/>
                                </a:solidFill>
                              </a:defRPr>
                            </a:pPr>
                            <a:t>[CATEGORY NAME]</a:t>
                          </a:fld>
                          <a:r>
                            <a:rPr lang="en-US"/>
                            <a:t> 14%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5-A2B6-47CA-817C-ED4FC7E696AF}"/>
                      </c:ext>
                    </c:extLst>
                  </c:dLbl>
                  <c:dLbl>
                    <c:idx val="4"/>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70DAF878-FE87-420F-85BE-08B3291A419E}" type="CATEGORYNAME">
                            <a:rPr lang="en-US"/>
                            <a:pPr>
                              <a:defRPr>
                                <a:solidFill>
                                  <a:schemeClr val="accent1"/>
                                </a:solidFill>
                              </a:defRPr>
                            </a:pPr>
                            <a:t>[CATEGORY NAME]</a:t>
                          </a:fld>
                          <a:r>
                            <a:rPr lang="en-US"/>
                            <a:t> 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6-A2B6-47CA-817C-ED4FC7E696AF}"/>
                      </c:ext>
                    </c:extLst>
                  </c:dLbl>
                  <c:dLbl>
                    <c:idx val="5"/>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CF2C2B07-3129-485B-8BA8-D2DA40C63B6B}" type="CATEGORYNAME">
                            <a:rPr lang="en-US"/>
                            <a:pPr>
                              <a:defRPr>
                                <a:solidFill>
                                  <a:schemeClr val="accent1"/>
                                </a:solidFill>
                              </a:defRPr>
                            </a:pPr>
                            <a:t>[CATEGORY NAME]</a:t>
                          </a:fld>
                          <a:r>
                            <a:rPr lang="en-US"/>
                            <a:t> 11% </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showLegendKey val="0"/>
                    <c:showVal val="0"/>
                    <c:showCatName val="1"/>
                    <c:showSerName val="0"/>
                    <c:showPercent val="1"/>
                    <c:showBubbleSize val="0"/>
                    <c:extLst>
                      <c:ext uri="{CE6537A1-D6FC-4f65-9D91-7224C49458BB}">
                        <c15:dlblFieldTable/>
                        <c15:showDataLabelsRange val="0"/>
                      </c:ext>
                      <c:ext xmlns:c16="http://schemas.microsoft.com/office/drawing/2014/chart" uri="{C3380CC4-5D6E-409C-BE32-E72D297353CC}">
                        <c16:uniqueId val="{00000007-A2B6-47CA-817C-ED4FC7E696AF}"/>
                      </c:ext>
                    </c:extLst>
                  </c:dLbl>
                  <c:spPr>
                    <a:solidFill>
                      <a:sysClr val="window" lastClr="FFFFFF"/>
                    </a:solidFill>
                    <a:ln>
                      <a:solidFill>
                        <a:srgbClr val="4472C4"/>
                      </a:solidFill>
                    </a:ln>
                    <a:effectLst/>
                  </c:spPr>
                  <c:dLblPos val="outEnd"/>
                  <c:showLegendKey val="0"/>
                  <c:showVal val="0"/>
                  <c:showCatName val="1"/>
                  <c:showSerName val="0"/>
                  <c:showPercent val="1"/>
                  <c:showBubbleSize val="0"/>
                  <c:showLeaderLines val="0"/>
                  <c:extLst>
                    <c:ext uri="{CE6537A1-D6FC-4f65-9D91-7224C49458BB}">
                      <c15:spPr xmlns:c15="http://schemas.microsoft.com/office/drawing/2012/chart">
                        <a:prstGeom prst="wedgeRectCallout">
                          <a:avLst/>
                        </a:prstGeom>
                        <a:noFill/>
                        <a:ln>
                          <a:noFill/>
                        </a:ln>
                      </c15:spPr>
                    </c:ext>
                  </c:extLst>
                </c:dLbls>
                <c:cat>
                  <c:strRef>
                    <c:extLst>
                      <c:ext uri="{02D57815-91ED-43cb-92C2-25804820EDAC}">
                        <c15:formulaRef>
                          <c15:sqref>Charts!$B$27:$B$32</c15:sqref>
                        </c15:formulaRef>
                      </c:ext>
                    </c:extLst>
                    <c:strCache>
                      <c:ptCount val="6"/>
                      <c:pt idx="0">
                        <c:v>Behavioral Health (Adult/Children)</c:v>
                      </c:pt>
                      <c:pt idx="1">
                        <c:v>Child Care</c:v>
                      </c:pt>
                      <c:pt idx="2">
                        <c:v>Infrastructure</c:v>
                      </c:pt>
                      <c:pt idx="3">
                        <c:v>Public Health</c:v>
                      </c:pt>
                      <c:pt idx="4">
                        <c:v>Social Services</c:v>
                      </c:pt>
                      <c:pt idx="5">
                        <c:v>Workforce</c:v>
                      </c:pt>
                    </c:strCache>
                  </c:strRef>
                </c:cat>
                <c:val>
                  <c:numRef>
                    <c:extLst>
                      <c:ext uri="{02D57815-91ED-43cb-92C2-25804820EDAC}">
                        <c15:formulaRef>
                          <c15:sqref>Charts!$C$27:$C$32</c15:sqref>
                        </c15:formulaRef>
                      </c:ext>
                    </c:extLst>
                    <c:numCache>
                      <c:formatCode>_(* #,##0.00_);_(* \(#,##0.00\);_(* "-"??_);_(@_)</c:formatCode>
                      <c:ptCount val="6"/>
                      <c:pt idx="0">
                        <c:v>112885763.05999999</c:v>
                      </c:pt>
                      <c:pt idx="1">
                        <c:v>80044280</c:v>
                      </c:pt>
                      <c:pt idx="2">
                        <c:v>176372451.59999999</c:v>
                      </c:pt>
                      <c:pt idx="3">
                        <c:v>71877569.150000006</c:v>
                      </c:pt>
                      <c:pt idx="4">
                        <c:v>18423826.490000002</c:v>
                      </c:pt>
                      <c:pt idx="5">
                        <c:v>58650351.919999994</c:v>
                      </c:pt>
                    </c:numCache>
                  </c:numRef>
                </c:val>
                <c:extLst>
                  <c:ext xmlns:c16="http://schemas.microsoft.com/office/drawing/2014/chart" uri="{C3380CC4-5D6E-409C-BE32-E72D297353CC}">
                    <c16:uniqueId val="{00000000-A2B6-47CA-817C-ED4FC7E696AF}"/>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COMPLETED PROJECTS BY TOPIC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Charts!$B$69:$B$74</c:f>
              <c:strCache>
                <c:ptCount val="6"/>
                <c:pt idx="0">
                  <c:v>Behavioral Health (Adult/Children)</c:v>
                </c:pt>
                <c:pt idx="1">
                  <c:v>Child Care</c:v>
                </c:pt>
                <c:pt idx="2">
                  <c:v>Infrastructure</c:v>
                </c:pt>
                <c:pt idx="3">
                  <c:v>Public Health</c:v>
                </c:pt>
                <c:pt idx="4">
                  <c:v>Social Services</c:v>
                </c:pt>
                <c:pt idx="5">
                  <c:v>Workforce</c:v>
                </c:pt>
              </c:strCache>
            </c:strRef>
          </c:cat>
          <c:val>
            <c:numRef>
              <c:f>Charts!$C$69:$C$74</c:f>
              <c:numCache>
                <c:formatCode>General</c:formatCode>
                <c:ptCount val="6"/>
                <c:pt idx="0">
                  <c:v>18</c:v>
                </c:pt>
                <c:pt idx="1">
                  <c:v>2</c:v>
                </c:pt>
                <c:pt idx="2">
                  <c:v>13</c:v>
                </c:pt>
                <c:pt idx="3">
                  <c:v>14</c:v>
                </c:pt>
                <c:pt idx="4">
                  <c:v>12</c:v>
                </c:pt>
                <c:pt idx="5">
                  <c:v>11</c:v>
                </c:pt>
              </c:numCache>
            </c:numRef>
          </c:val>
          <c:extLst>
            <c:ext xmlns:c16="http://schemas.microsoft.com/office/drawing/2014/chart" uri="{C3380CC4-5D6E-409C-BE32-E72D297353CC}">
              <c16:uniqueId val="{00000000-3C4C-4F87-B3E3-0AEE45FA64C2}"/>
            </c:ext>
          </c:extLst>
        </c:ser>
        <c:dLbls>
          <c:showLegendKey val="0"/>
          <c:showVal val="0"/>
          <c:showCatName val="0"/>
          <c:showSerName val="0"/>
          <c:showPercent val="0"/>
          <c:showBubbleSize val="0"/>
        </c:dLbls>
        <c:gapWidth val="182"/>
        <c:axId val="1610702367"/>
        <c:axId val="1610701887"/>
      </c:barChart>
      <c:catAx>
        <c:axId val="16107023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701887"/>
        <c:crosses val="autoZero"/>
        <c:auto val="1"/>
        <c:lblAlgn val="ctr"/>
        <c:lblOffset val="100"/>
        <c:noMultiLvlLbl val="0"/>
      </c:catAx>
      <c:valAx>
        <c:axId val="16107018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702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23812</xdr:colOff>
      <xdr:row>9</xdr:row>
      <xdr:rowOff>133350</xdr:rowOff>
    </xdr:from>
    <xdr:to>
      <xdr:col>4</xdr:col>
      <xdr:colOff>828675</xdr:colOff>
      <xdr:row>23</xdr:row>
      <xdr:rowOff>185737</xdr:rowOff>
    </xdr:to>
    <xdr:graphicFrame macro="">
      <xdr:nvGraphicFramePr>
        <xdr:cNvPr id="4" name="Chart 3">
          <a:extLst>
            <a:ext uri="{FF2B5EF4-FFF2-40B4-BE49-F238E27FC236}">
              <a16:creationId xmlns:a16="http://schemas.microsoft.com/office/drawing/2014/main" id="{3ED0B607-78CA-F7D7-B209-31EAAD0A4E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34</xdr:row>
      <xdr:rowOff>0</xdr:rowOff>
    </xdr:from>
    <xdr:to>
      <xdr:col>4</xdr:col>
      <xdr:colOff>781050</xdr:colOff>
      <xdr:row>48</xdr:row>
      <xdr:rowOff>9526</xdr:rowOff>
    </xdr:to>
    <xdr:graphicFrame macro="">
      <xdr:nvGraphicFramePr>
        <xdr:cNvPr id="5" name="Chart 4">
          <a:extLst>
            <a:ext uri="{FF2B5EF4-FFF2-40B4-BE49-F238E27FC236}">
              <a16:creationId xmlns:a16="http://schemas.microsoft.com/office/drawing/2014/main" id="{C036E80C-0B2A-38CE-710B-99DCE255F0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xdr:colOff>
      <xdr:row>76</xdr:row>
      <xdr:rowOff>4762</xdr:rowOff>
    </xdr:from>
    <xdr:to>
      <xdr:col>4</xdr:col>
      <xdr:colOff>357187</xdr:colOff>
      <xdr:row>90</xdr:row>
      <xdr:rowOff>80962</xdr:rowOff>
    </xdr:to>
    <xdr:graphicFrame macro="">
      <xdr:nvGraphicFramePr>
        <xdr:cNvPr id="6" name="Chart 5">
          <a:extLst>
            <a:ext uri="{FF2B5EF4-FFF2-40B4-BE49-F238E27FC236}">
              <a16:creationId xmlns:a16="http://schemas.microsoft.com/office/drawing/2014/main" id="{41CC5E7F-A03E-A4CB-6409-4739E371A5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0D6700CF-1F48-4279-940D-ACFCBA3F810D}">
    <nsvFilter filterId="{227E9981-54AD-4893-85D6-50E230D1C908}" ref="A2:AP156" tableId="0">
      <columnFilter colId="3">
        <filter colId="3">
          <x:filters>
            <x:filter val="3208"/>
          </x:filters>
        </filter>
      </columnFilter>
    </nsvFilter>
  </namedSheetView>
  <namedSheetView name="View2" id="{2C3E8EFF-4B92-44ED-BE65-1EA66A2CF4C9}">
    <nsvFilter filterId="{227E9981-54AD-4893-85D6-50E230D1C908}" ref="A2:AP156" tableId="0">
      <columnFilter colId="0">
        <filter colId="0">
          <x:filters>
            <x:filter val="402"/>
          </x:filters>
        </filter>
      </columnFilter>
      <columnFilter colId="3">
        <filter colId="3">
          <x:filters>
            <x:filter val="3266/78"/>
          </x:filters>
        </filter>
      </columnFilter>
      <sortRules>
        <sortRule colId="3">
          <sortCondition ref="D2:D156"/>
        </sortRule>
      </sortRules>
    </nsvFilter>
  </namedSheetView>
  <namedSheetView name="View3" id="{E40EBD3E-E19A-4A92-A4A1-970BB13F4BCE}">
    <nsvFilter filterId="{227E9981-54AD-4893-85D6-50E230D1C908}" ref="A2:AP156" tableId="0">
      <sortRules>
        <sortRule colId="3">
          <sortCondition descending="1" ref="D2:D156"/>
        </sortRule>
      </sortRules>
    </nsvFilter>
  </namedSheetView>
  <namedSheetView name="View4" id="{40D3E964-3CA0-4F26-B0BC-75DF0B164E0A}">
    <nsvFilter filterId="{227E9981-54AD-4893-85D6-50E230D1C908}" ref="A2:AP156" tableId="0">
      <columnFilter colId="0">
        <filter colId="0">
          <x:filters>
            <x:filter val="409"/>
          </x:filters>
        </filter>
      </columnFilter>
      <sortRules>
        <sortRule colId="3">
          <sortCondition ref="D2:D156"/>
        </sortRule>
      </sortRules>
    </nsvFilter>
  </namedSheetView>
</namedSheetViews>
</file>

<file path=xl/persons/person.xml><?xml version="1.0" encoding="utf-8"?>
<personList xmlns="http://schemas.microsoft.com/office/spreadsheetml/2018/threadedcomments" xmlns:x="http://schemas.openxmlformats.org/spreadsheetml/2006/main">
  <person displayName="Vickie S. Ives" id="{3967A72E-92C7-49E4-90C6-C452EE5A01C1}" userId="S::vives@health.nv.gov::400cddd8-2b1b-47a5-bbf3-439e74d530e4" providerId="AD"/>
  <person displayName="Debi Reynolds" id="{E2231ECC-C676-45E9-833C-729BC9D58A52}" userId="S::DReynolds@dhhs.nv.gov::71fb4433-e026-45ae-8a85-153e3017248a" providerId="AD"/>
  <person displayName="Mitch DeValliere" id="{6B80C3EB-5741-4B80-BB25-4CDC0B540C84}" userId="S::bdevalliere@health.nv.gov::74a090ee-3b27-47a6-b5b0-98c1cfa1aea6" providerId="AD"/>
  <person displayName="Kelsey McCann-Navarro" id="{49EC1986-8AF6-45BD-98A2-03DE5DAE410C}" userId="S::Kelsey.Navarro@dcfs.nv.gov::9db73c34-4149-45d8-80bd-fce2115dd0fc"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ophia Allec" refreshedDate="45798.348201851855" createdVersion="8" refreshedVersion="8" minRefreshableVersion="3" recordCount="152" xr:uid="{0CAE70AE-5868-48EC-B9ED-FE791338505C}">
  <cacheSource type="worksheet">
    <worksheetSource ref="A2:AL154" sheet="Agency Projects"/>
  </cacheSource>
  <cacheFields count="38">
    <cacheField name="Agency" numFmtId="0">
      <sharedItems containsSemiMixedTypes="0" containsString="0" containsNumber="1" containsInteger="1" minValue="400" maxValue="409" count="6">
        <n v="400"/>
        <n v="402"/>
        <n v="403"/>
        <n v="406"/>
        <n v="407"/>
        <n v="409"/>
      </sharedItems>
    </cacheField>
    <cacheField name="Project #" numFmtId="0">
      <sharedItems/>
    </cacheField>
    <cacheField name=" " numFmtId="0">
      <sharedItems longText="1"/>
    </cacheField>
    <cacheField name="Budget Account" numFmtId="0">
      <sharedItems containsMixedTypes="1" containsNumber="1" containsInteger="1" minValue="1383" maxValue="4895"/>
    </cacheField>
    <cacheField name="Project Start Date" numFmtId="14">
      <sharedItems containsSemiMixedTypes="0" containsNonDate="0" containsDate="1" containsString="0" minDate="2021-12-09T00:00:00" maxDate="2025-07-02T00:00:00"/>
    </cacheField>
    <cacheField name="Project End Date" numFmtId="14">
      <sharedItems containsSemiMixedTypes="0" containsNonDate="0" containsDate="1" containsString="0" minDate="2022-06-30T00:00:00" maxDate="2027-03-01T00:00:00"/>
    </cacheField>
    <cacheField name="# of Days in Project Period" numFmtId="1">
      <sharedItems containsSemiMixedTypes="0" containsString="0" containsNumber="1" containsInteger="1" minValue="9" maxValue="1728"/>
    </cacheField>
    <cacheField name="% of Project Period Passed" numFmtId="9">
      <sharedItems containsSemiMixedTypes="0" containsString="0" containsNumber="1" minValue="-0.11263736263736264" maxValue="3.1867088607594938"/>
    </cacheField>
    <cacheField name="Original NOA Amount" numFmtId="0">
      <sharedItems containsSemiMixedTypes="0" containsString="0" containsNumber="1" minValue="0" maxValue="55378801"/>
    </cacheField>
    <cacheField name="Change Requests" numFmtId="0">
      <sharedItems containsString="0" containsBlank="1" containsNumber="1" minValue="-54378801" maxValue="31200648"/>
    </cacheField>
    <cacheField name="GFO/LCB Adjustments" numFmtId="0">
      <sharedItems containsString="0" containsBlank="1" containsNumber="1" minValue="-9390199" maxValue="1718114.7"/>
    </cacheField>
    <cacheField name="Total NOA + Change Requests + Adjustments" numFmtId="44">
      <sharedItems containsSemiMixedTypes="0" containsString="0" containsNumber="1" minValue="0" maxValue="50000000"/>
    </cacheField>
    <cacheField name="Most Recent NOA Amount " numFmtId="0">
      <sharedItems containsString="0" containsBlank="1" containsNumber="1" minValue="0" maxValue="55378801"/>
    </cacheField>
    <cacheField name="Difference of Column L + M" numFmtId="44">
      <sharedItems containsMixedTypes="1" containsNumber="1" minValue="-54378801" maxValue="1717766.6999999993"/>
    </cacheField>
    <cacheField name="Original Budgeted Amount" numFmtId="44">
      <sharedItems containsSemiMixedTypes="0" containsString="0" containsNumber="1" minValue="3816" maxValue="50000000"/>
    </cacheField>
    <cacheField name="Initial Approved Work Program #" numFmtId="0">
      <sharedItems/>
    </cacheField>
    <cacheField name="Description of Project (Limited to 1500 characters)" numFmtId="0">
      <sharedItems longText="1"/>
    </cacheField>
    <cacheField name="Brief description of structure and objectives of assistance program(s), including public health or negative economic impact experienced (Limited to 250 characters)" numFmtId="0">
      <sharedItems containsBlank="1" longText="1"/>
    </cacheField>
    <cacheField name="Brief description of approach to ensuring the response is reasonable and proportional to a public health or negative economic impact of COVID-19. (limited to 250 characters)" numFmtId="0">
      <sharedItems containsBlank="1" longText="1"/>
    </cacheField>
    <cacheField name="Narrative - Update on Project Status" numFmtId="0">
      <sharedItems longText="1"/>
    </cacheField>
    <cacheField name="Completion Status" numFmtId="0">
      <sharedItems count="12">
        <s v="Completed 50% or More"/>
        <s v="Completed less than 50%"/>
        <s v="Completed"/>
        <s v="Completed 6/4/2024"/>
        <s v="Completed 6/30/2023"/>
        <s v="Completed more than 50%"/>
        <s v="Not Started"/>
        <s v="Completed less than 75%"/>
        <s v="Completed less than 58%"/>
        <s v="Completed 4/19/2023" u="1"/>
        <s v="Completed 2/5/2025" u="1"/>
        <s v="Completed less than 67%" u="1"/>
      </sharedItems>
    </cacheField>
    <cacheField name="Previous Obligations Reported" numFmtId="0">
      <sharedItems containsSemiMixedTypes="0" containsString="0" containsNumber="1" minValue="0" maxValue="50000000"/>
    </cacheField>
    <cacheField name="Additional Obligations between March 1- March 31, 2025" numFmtId="44">
      <sharedItems containsString="0" containsBlank="1" containsNumber="1" containsInteger="1" minValue="0" maxValue="0"/>
    </cacheField>
    <cacheField name="Total Obligations_x000a_DO NOT HARDCODE" numFmtId="44">
      <sharedItems containsSemiMixedTypes="0" containsString="0" containsNumber="1" minValue="0" maxValue="50000000"/>
    </cacheField>
    <cacheField name="Previously Expended" numFmtId="0">
      <sharedItems containsSemiMixedTypes="0" containsString="0" containsNumber="1" minValue="0" maxValue="49771482.670000002"/>
    </cacheField>
    <cacheField name="Expended  March 1- March 31, 2025" numFmtId="0">
      <sharedItems containsString="0" containsBlank="1" containsNumber="1" minValue="0" maxValue="3108138.87"/>
    </cacheField>
    <cacheField name="Total Expended_x000a_DO NOT HARDCODE" numFmtId="44">
      <sharedItems containsSemiMixedTypes="0" containsString="0" containsNumber="1" minValue="0" maxValue="49771482.670000002"/>
    </cacheField>
    <cacheField name="% Expended" numFmtId="165">
      <sharedItems containsString="0" containsBlank="1" containsNumber="1" minValue="0" maxValue="1.8985164835164836"/>
    </cacheField>
    <cacheField name="Approved_x000a_Adjustments (+/-)_x000a_(Work Programs + Budget Revisions)" numFmtId="0">
      <sharedItems containsString="0" containsBlank="1" containsNumber="1" minValue="-54378801" maxValue="234949.2"/>
    </cacheField>
    <cacheField name="Revised Approved Budget" numFmtId="44">
      <sharedItems containsSemiMixedTypes="0" containsString="0" containsNumber="1" minValue="0" maxValue="50000000"/>
    </cacheField>
    <cacheField name="Difference between most Recent NOA and Revised Approved Budget" numFmtId="44">
      <sharedItems containsString="0" containsBlank="1" containsNumber="1" minValue="-666000" maxValue="54888470.590000004"/>
    </cacheField>
    <cacheField name="Additional Potential Deobligation Amount" numFmtId="44">
      <sharedItems containsSemiMixedTypes="0" containsString="0" containsNumber="1" minValue="-9.9999999976716936E-2" maxValue="17520105.68"/>
    </cacheField>
    <cacheField name="Sustainability: One Time Funding, Medicaid, Other Funding Source, Budget Request" numFmtId="0">
      <sharedItems longText="1"/>
    </cacheField>
    <cacheField name="# of Households/Individuals Served/Tests/etc. " numFmtId="0">
      <sharedItems containsBlank="1" containsMixedTypes="1" containsNumber="1" containsInteger="1" minValue="0" maxValue="57579" longText="1"/>
    </cacheField>
    <cacheField name="Amount Allocated towards Evidence Based Interventions" numFmtId="0">
      <sharedItems containsBlank="1" containsMixedTypes="1" containsNumber="1" containsInteger="1" minValue="0" maxValue="20739792" longText="1"/>
    </cacheField>
    <cacheField name="Is this project related to a Capital Expenditure?" numFmtId="0">
      <sharedItems containsBlank="1" containsMixedTypes="1" containsNumber="1" containsInteger="1" minValue="0" maxValue="0"/>
    </cacheField>
    <cacheField name="Area Served: Urban (Clark/Washoe), Rural or Statewide" numFmtId="0">
      <sharedItems count="5">
        <s v="Statewide"/>
        <s v="Rural"/>
        <s v="Clark"/>
        <s v="Washoe"/>
        <s v="Urban (Clark/Washoe)"/>
      </sharedItems>
    </cacheField>
    <cacheField name="Topic Area: Behavioral Health (Adult or Children); Infrastructure; Public Health; Workforce; Other" numFmtId="0">
      <sharedItems count="6">
        <s v="Infrastructure"/>
        <s v="Workforce"/>
        <s v="Public Health"/>
        <s v="Social Services"/>
        <s v="Behavioral Health (Adult/Children)"/>
        <s v="Child Car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2">
  <r>
    <x v="0"/>
    <s v="23NVTRI01"/>
    <s v="DHHS Director's Office - Nevada Transplant Institute"/>
    <n v="3195"/>
    <d v="2022-10-20T00:00:00"/>
    <d v="2026-06-30T00:00:00"/>
    <n v="1349"/>
    <n v="0.69977761304670127"/>
    <n v="15000000"/>
    <n v="0"/>
    <n v="0"/>
    <n v="15000000"/>
    <n v="15000000"/>
    <n v="0"/>
    <n v="15000000"/>
    <s v="23FR319503"/>
    <s v="This request will allow the division to subgrant funds to the Nevada Donor Network to support the Nevada Transplant Institute (NTI). This one-time funding will be used to support a cooperative approach to organ donation and transplantation to solve a great inequity and disparity in the Battle Born State. This request will fund the necessary infrastructure and campus ecosystem at the Nevada Donor Network in Las Vegas and in Reno to support the state-wide Nevada Transplant Institute (NTI). Funds will also be utilized to fund the cost of the initial 10 liver transplants prior to CMS certification, infrastructure enhancements at a Southern Nevada hospital to start a liver transplant center, and infrastructure enhancement to start a kidney transplant center at a Northern Nevada hospital."/>
    <s v="N/A"/>
    <s v="N/A"/>
    <s v="Organ Ox perfusion initiative funded by the grant has yielded 9 livers for transplantation since September that would not have been possible otherwise. Renown Regional Medical Center as part of NTI grant funding continues construction/remodel of the transplant floor. The first transplant under the partnership facilitated by the grant is projected to occur in the third quarter of 2024 (pending physician licensing) of the NTI Director and partner. 10/2/24 CMS application for Program Medicare coverage will be submitted after the first successfully completed three transplants.  NTI and Renown health are onboarding an NTI transplant executive secretary which will be the first full time employee of NTI. This position will liaise with all transplant related facilities to coordinate patient admission to the Renown Kidney Transplant program.  Physician surgeons have been onboarded. Contracts for Transplant Program OPO affiliation and perfusion services are being drafted. Contract services between NDN and Renown Health for live donor surgical coverage by Dr. Harrison Pollinger, after hour organ call and transplant related services are being negotiated. Renown Regional Medical Center UNOS/OPTN application to become a transplant center in collaboration with NTI will be submitted early October. First kidney transplant under NTI- Renown kidney transplant program umbrella is anticipated to be performed in 4th quarter of 2024 at Renown Regional Medical Center contingent on UNOS approval._x000a__x000a_Nevada Transplant Institute Operations Northern Nevada: Kidney transplant program at Renown Regional Medical Center: Ernesto P. Moment, MD, PhD, MBA, Director and Vice President of the Nevada Transplant Institute has relocated to Reno and started his first day at Renown May 28th. Dr. Moment and Dr. Pollinger received their Nevada medical licenses. Dr. David Mulligan is in the process of receiving his Nevada medical license. Construction has begun for the clinic space at Renown Regional Medical Center. On site interview is scheduled with a nephrology candidate for June 21st. Actively recruiting pharmacist, dietician, social worker, and nurse coordinator for the Northern Nevada program. _x000a__x000a_Nevada Transplant Institute Operations Southern Nevada: Liver transplant program:  Request for proposals were sent out to all Southern Nevada acute care facilities.  University Medical Center is the only facility that expressed interest and has designated a project manager to start to implement the liver transplant program. Kickoff meeting with UMC is scheduled for June 5th. _x000a__x000a_Nevada Donor Network  - Donor Care Unit: 1050 E Sahara Ave was purchased in April 2024. Architect has been selected to begin the design phase. Next step would be to get competitive bids for construction. NDN is pushing to have construction complete by 12/31/24.                                                                              CMS application for Program Medicare coverage will be submitted after the first successfully completed three transplants.  NTI and Renown health are onboarding an NTI transplant executive secretary which will be the first full time employee of NTI. This position will liaise with all transplant related facilities to coordinate patient admission to the Renown Kidney Transplant program.  Physician surgeons have been onboarded. Contracts for Transplant Program OPO affiliation and perfusion services are being drafted. Contract services between NDN and Renown Health for live donor surgical coverage by Dr. Harrison Pollinger, after hour organ call and transplant related services are being negotiated. Renown Regional Medical Center UNOS/OPTN application to become a transplant center in collaboration with NTI will be submitted early October. First kidney transplant under NTI- Renown kidney transplant program umbrella is anticipated to be performed in 4th quarter of 2024 at Renown Regional Medical Center contingent on UNOS approval._x000a_"/>
    <x v="0"/>
    <n v="15000000"/>
    <n v="0"/>
    <n v="15000000"/>
    <n v="8902087.9300000016"/>
    <n v="0"/>
    <n v="8902087.9300000016"/>
    <n v="0.59347252866666678"/>
    <m/>
    <n v="15000000"/>
    <n v="0"/>
    <n v="0"/>
    <s v="One Time Funding"/>
    <s v="N/A"/>
    <s v="N/A"/>
    <s v="Yes"/>
    <x v="0"/>
    <x v="0"/>
  </r>
  <r>
    <x v="0"/>
    <s v="23EIPRC01"/>
    <s v="DHHS Director's Office - Early Intervention Personnel Center"/>
    <n v="3276"/>
    <d v="2022-10-20T00:00:00"/>
    <d v="2026-06-30T00:00:00"/>
    <n v="1349"/>
    <n v="0.69977761304670127"/>
    <n v="368100"/>
    <n v="0"/>
    <n v="0"/>
    <n v="368100"/>
    <n v="368100"/>
    <n v="0"/>
    <n v="368100"/>
    <s v="23FR327601"/>
    <s v="This proposal requests ARPA funding for the Nevada Early Intervention System to develop a feasible solution as well as additional option to traditional academia in order to retain employees and assist them in meeting their professional requirements. An Early Intervention Personnel Center may facilitate a Developmental Specialist Core Series of professional development curriculum that will be no cost to El professional learners, and that will be comparably rigorous to current, traditional paths of 18 course credits to educator licensure, and that would meet federal requirements through IDEA Part C for highly qualified professionals, according to 34 CFR 303.119 Comprehensive System for Personnel Development."/>
    <s v="N/A"/>
    <s v="N/A"/>
    <s v="The PD Center’s first three cohorts — most completed recently on April 11, 2025 — had a total of 57 graduates. Annual subscription for ESBCO (academic research platform for the PD Center) was paid. Contract PD Center director will continue with ARPA funds through June 2026, and thereafter funding for the position will be through annual formula grant funds. The Developmental Vision Specialist (DVS) series is in development and applications will begin in May 2025 and the series will begin in August 2025. ARPA funds were approved for costs related to DVS curriculum, materials (Braille machines). The PD Center presented six trainings in 2024-25 to statewide EI personnel and PD hours were provided."/>
    <x v="1"/>
    <n v="254944.8"/>
    <n v="0"/>
    <n v="254944.8"/>
    <n v="153743.54999999999"/>
    <n v="16083.92"/>
    <n v="169827.47"/>
    <n v="0.46136232002173322"/>
    <m/>
    <n v="368100"/>
    <n v="0"/>
    <n v="113155.20000000001"/>
    <s v="One Time Funding"/>
    <s v="N/A"/>
    <s v="N/A"/>
    <s v="No"/>
    <x v="0"/>
    <x v="1"/>
  </r>
  <r>
    <x v="0"/>
    <s v="23ARYRX01"/>
    <s v="ArrayRx"/>
    <n v="3195"/>
    <d v="2022-08-17T00:00:00"/>
    <d v="2024-12-31T00:00:00"/>
    <n v="867"/>
    <n v="1"/>
    <n v="250000"/>
    <n v="0"/>
    <n v="0"/>
    <n v="250000"/>
    <n v="250000"/>
    <n v="0"/>
    <n v="250000"/>
    <s v="23FRF31951"/>
    <s v="Communications campaign for the launch of the Array prescription card program."/>
    <s v="N/A"/>
    <s v="N/A"/>
    <s v="Project complete. All funding was used for the development and publishing of a statewide advertising campaign through January 2025 in English and Spanish to promote the ArrayRX prescription drug card."/>
    <x v="2"/>
    <n v="250000"/>
    <m/>
    <n v="250000"/>
    <n v="250000"/>
    <m/>
    <n v="250000"/>
    <n v="1"/>
    <m/>
    <n v="250000"/>
    <n v="0"/>
    <n v="0"/>
    <s v="One Time Funding"/>
    <s v="N/A"/>
    <s v="N/A"/>
    <s v="No"/>
    <x v="0"/>
    <x v="2"/>
  </r>
  <r>
    <x v="0"/>
    <s v="22PRVSM01"/>
    <s v="Human Services Provider Summit"/>
    <n v="3195"/>
    <d v="2022-04-19T00:00:00"/>
    <d v="2022-06-30T00:00:00"/>
    <n v="72"/>
    <n v="1"/>
    <n v="16074"/>
    <n v="0"/>
    <n v="0"/>
    <n v="16074"/>
    <n v="16074"/>
    <n v="0"/>
    <n v="16074"/>
    <s v="22FRF31951"/>
    <s v="The event will help identify a short list of providers who are equipped to address our service gaps. It will also educate new providers on how to do business in the state and gain additional insight from the provider community on current barriers to expansion."/>
    <s v="N/A"/>
    <s v="N/A"/>
    <s v="Project complete. In collaboration with the Office of the Governor, DHHS hosted a Healthcare Provider Summit on April 19, 2022, in Las Vegas to restart conversations that were put on hold for the pandemic; discuss ideas and innovations; and collaborate to better support the health of all Nevadans."/>
    <x v="2"/>
    <n v="16073.49"/>
    <m/>
    <n v="16073.49"/>
    <n v="16073.49"/>
    <m/>
    <n v="16073.49"/>
    <n v="0.9999682717431877"/>
    <n v="-0.51"/>
    <n v="16073.49"/>
    <n v="0.51000000000021828"/>
    <n v="0"/>
    <s v="One Time Funding"/>
    <s v="N/A"/>
    <s v="N/A"/>
    <s v="No"/>
    <x v="0"/>
    <x v="0"/>
  </r>
  <r>
    <x v="0"/>
    <s v="23DOCMP01"/>
    <s v="DHHS Director's Office Computers"/>
    <n v="3150"/>
    <d v="2022-10-20T00:00:00"/>
    <d v="2023-06-30T00:00:00"/>
    <n v="253"/>
    <n v="1"/>
    <n v="13449"/>
    <n v="0"/>
    <n v="0"/>
    <n v="13449"/>
    <n v="13449"/>
    <n v="0"/>
    <n v="13449"/>
    <s v="23FR315001"/>
    <s v="Purchase of 6 laptops to enable staff to telework when needed, due to public health emergencies."/>
    <s v="N/A"/>
    <s v="N/A"/>
    <s v="Equipment was purchased"/>
    <x v="2"/>
    <n v="13028.7"/>
    <m/>
    <n v="13028.7"/>
    <n v="13028.7"/>
    <m/>
    <n v="13028.7"/>
    <n v="0.96874860584430078"/>
    <n v="-420.3"/>
    <n v="13028.7"/>
    <n v="420.29999999999927"/>
    <n v="0"/>
    <s v="One Time Funding"/>
    <s v="N/A"/>
    <s v="N/A"/>
    <s v="No"/>
    <x v="0"/>
    <x v="0"/>
  </r>
  <r>
    <x v="0"/>
    <s v="23DOCMP02"/>
    <s v="DHHS Director's Office Admin Svc and GMU"/>
    <n v="3195"/>
    <d v="2022-10-20T00:00:00"/>
    <d v="2023-06-30T00:00:00"/>
    <n v="253"/>
    <n v="1"/>
    <n v="6724"/>
    <n v="0"/>
    <n v="0"/>
    <n v="6724"/>
    <n v="6724"/>
    <n v="0"/>
    <n v="6724"/>
    <s v="23FR319502"/>
    <s v="Purchase 3 laptops for telework"/>
    <s v="N/A"/>
    <s v="N/A"/>
    <s v="Equipment was purchased"/>
    <x v="2"/>
    <n v="6195"/>
    <m/>
    <n v="6195"/>
    <n v="6195"/>
    <m/>
    <n v="6195"/>
    <n v="0.92132659131469363"/>
    <n v="-529"/>
    <n v="6195"/>
    <n v="529"/>
    <n v="0"/>
    <s v="One Time Funding"/>
    <s v="N/A"/>
    <s v="N/A"/>
    <s v="No"/>
    <x v="0"/>
    <x v="0"/>
  </r>
  <r>
    <x v="1"/>
    <s v="22CHCMH01"/>
    <s v="CRG - Churchill Community Hospital Inc. "/>
    <s v="3266/78"/>
    <d v="2022-06-22T00:00:00"/>
    <d v="2024-06-30T00:00:00"/>
    <n v="739"/>
    <n v="1"/>
    <n v="10936"/>
    <n v="0"/>
    <n v="0"/>
    <n v="10936"/>
    <n v="10936"/>
    <n v="0"/>
    <n v="10936"/>
    <s v="22FRF32662"/>
    <s v="Churchill Community Hospital Inc. project gave money directly to patients with financial or social challenges and no other county assistance right after leaving Banner Churchill Community Hospital. A licensed social worker helped identify patients who needed support. The project mainly helped patients get to their health care appointments by giving them money for transportation."/>
    <s v="Support was provided to patients in need after leaving the hospital, so they could obtain transportation to their follow-up doctor visits."/>
    <s v="Funding is provided only to low or moderate income households or individuals."/>
    <s v="Project completed 6/30/2024. All funds are fully expended. Services initiated under this funding source continue through other funding sources. "/>
    <x v="2"/>
    <n v="10936"/>
    <n v="0"/>
    <n v="10936"/>
    <n v="10936"/>
    <n v="0"/>
    <n v="10936"/>
    <n v="1"/>
    <n v="0"/>
    <n v="10936"/>
    <n v="0"/>
    <n v="0"/>
    <s v="One Time Funding"/>
    <n v="40"/>
    <s v="No"/>
    <s v="No"/>
    <x v="1"/>
    <x v="3"/>
  </r>
  <r>
    <x v="1"/>
    <s v="23GTGAC01"/>
    <s v="Ackerman Center"/>
    <n v="3279"/>
    <d v="2022-08-18T00:00:00"/>
    <d v="2025-03-31T00:00:00"/>
    <n v="956"/>
    <n v="1"/>
    <n v="8527243"/>
    <n v="0"/>
    <n v="0"/>
    <n v="8527243"/>
    <n v="8527243"/>
    <n v="0"/>
    <n v="8527243"/>
    <s v="23FRF32794"/>
    <s v="Funding was used to hire diagnostic and therapeutic providers to diagnose children with neurodevelopmental disorders. Funds were sub-awarded to the GGAF Ackerman Center, which is the only center in Southern Nevada that specializes in testing children with brain and development disorders as early as 12 to 14 months of age. The Ackerman Center's goal was to hire 100 clinicians to help kids quicker, reducing wait time from 9-18 months to 1-3 months, and diagnose more than 2,000 children annually."/>
    <s v="By hiring more providers to diagnose children, experienced staff at the Ackerman Center have more time to teach families and community workers. This helps more people understand developmental and intellectual disabilities. As the center grows and becomes more stable, GGAF can use more of its donations and grants to help families directly such as offering support programs, job training, and money for families who can’t afford important services."/>
    <s v="Expanding clinical staff resulted in a significant increase in the number of children in Southern Nevada being diagnosed, and therefore able to receive necessary therapies. Expanded staff also helped to reduce the long wait lists that caused families to leave the state in order to receive care more timely. "/>
    <s v="Project completed 02/05/2025.  All funds are fully expended; $.82 in authority remains."/>
    <x v="2"/>
    <n v="8527243"/>
    <n v="0"/>
    <n v="8527243"/>
    <n v="8527243"/>
    <n v="0"/>
    <n v="8527243"/>
    <n v="1"/>
    <n v="0"/>
    <n v="8527243"/>
    <n v="0"/>
    <n v="0"/>
    <s v="One Time Funding"/>
    <n v="6143"/>
    <s v="No"/>
    <s v="No"/>
    <x v="2"/>
    <x v="4"/>
  </r>
  <r>
    <x v="1"/>
    <s v="23HCAPD01"/>
    <s v="Home/Chore Assistance for people with Disabilities"/>
    <s v="3266/78"/>
    <d v="2022-10-20T00:00:00"/>
    <d v="2025-12-31T00:00:00"/>
    <n v="1168"/>
    <n v="0.80821917808219179"/>
    <n v="1559280"/>
    <n v="-59280"/>
    <n v="0"/>
    <n v="1500000"/>
    <n v="1559280"/>
    <n v="-59280"/>
    <n v="1559280"/>
    <s v="23FRF32665"/>
    <s v="This project addresses existing waitlists for home and chore assistance services to older adults and people with disabilities. This project has also allowed the implementation of new service delivery models to expand capacity for this service.  The homemaker and chore assistance program offers critical services to people to help them remain healthy and safe in their homes. It is also one of the lowest return on investment services to support people in their homes."/>
    <s v="As a result of the pandemic and other economic factors,  service costs continue to increase, making it difficult to recruit personnel. This project helps connect individuals on the waitlist with services as well as provides funding to subrecipients for  implemention of innovative service delivery models.  "/>
    <s v="Reduce growing waitlist for services. "/>
    <s v="Funds have been obligated to subrecipients to address waitlists and/or to implement a new service delivery model. A small portion of funding has been obligated for a contract to support self-directed services.  This contract kicked off in January 2025 and is moving forward as expected.  All funding is projected to be expended by 12/31/25.  "/>
    <x v="0"/>
    <n v="1500000"/>
    <m/>
    <n v="1500000"/>
    <n v="805695.11"/>
    <n v="5672.63"/>
    <n v="811367.74"/>
    <n v="0.5203476861115387"/>
    <n v="-59280"/>
    <n v="1500000"/>
    <n v="59280"/>
    <n v="0"/>
    <s v="One Time Funding"/>
    <n v="149"/>
    <s v="No"/>
    <s v="No"/>
    <x v="0"/>
    <x v="0"/>
  </r>
  <r>
    <x v="1"/>
    <s v="23SVNEX01"/>
    <s v="Service Navigation Expansion"/>
    <s v="3266/78"/>
    <d v="2022-10-20T00:00:00"/>
    <d v="2026-12-31T00:00:00"/>
    <n v="1533"/>
    <n v="0.61578604044357466"/>
    <n v="1646881"/>
    <n v="-500000"/>
    <m/>
    <n v="1146881"/>
    <n v="1646881"/>
    <n v="-500000"/>
    <n v="1646881"/>
    <s v="23FRF32666"/>
    <s v="The goal of this project is to create an entry level pipeline for the health care workforce and address access to care for Nevada's most vulnerable population. The ARPA funding will be used to create a focused training on long-term service navigation and offer certification  as entry level navigators for long-term services and supports. These positions are critical to enhance the state's No Wrong Door efforts, educating individuals and families on programs and services, coordinating services across various programs, expanding access to various services, including Medicare counseling and Office for Consumer Health Assistance services. This funding will support the development of curriculum, grant-funded direct service providers, and administrative costs with a project start date of January 2023 and anticipated to be an ongoing service sustainable through Medicaid claiming, grant funds, and state general funds to the extent available."/>
    <s v="This project will help individuals navigate the long-term services and supports system and will increase the skills and knowledge of resource and service navigator professionals.  "/>
    <s v="Increase capacity to provide assistance to inquiries and ensure all populations are served through a trained, professional workforce.  "/>
    <s v="All funding has been obligated.  Spending as expected with all projects to be completed by 12/31/26. "/>
    <x v="1"/>
    <n v="1146215.21"/>
    <m/>
    <n v="1146215.21"/>
    <n v="547650.43999999994"/>
    <n v="14298.99"/>
    <n v="561949.42999999993"/>
    <n v="0.34122042211914516"/>
    <n v="-500000"/>
    <n v="1146881"/>
    <n v="500000"/>
    <n v="665.79000000003725"/>
    <s v="One Time Funding"/>
    <s v="N/A"/>
    <s v="No"/>
    <s v="No"/>
    <x v="0"/>
    <x v="1"/>
  </r>
  <r>
    <x v="1"/>
    <s v="22CCSCR01"/>
    <s v="Carson City Senior Center"/>
    <n v="3266"/>
    <d v="2022-04-01T00:00:00"/>
    <d v="2023-03-31T00:00:00"/>
    <n v="364"/>
    <n v="1"/>
    <n v="25727.13"/>
    <n v="-17398.259999999998"/>
    <n v="0"/>
    <n v="8328.8700000000026"/>
    <n v="8328.8700000000008"/>
    <n v="0"/>
    <n v="25727.13"/>
    <s v="22FRF32661"/>
    <s v="Sub-award to Carson City Senior Center under Community Recovery Grant."/>
    <s v="Funding was used to contract meal services to continue congregate and home-delivered meals for clients eligible under the Older Americans Act while the Carson City Senior Center kitchen was temporarily closed."/>
    <s v="Addressed food insecurity for vulnerable populations. "/>
    <s v="Complete. Remaining funds de-obligated. "/>
    <x v="2"/>
    <n v="8328.8700000000008"/>
    <n v="0"/>
    <n v="8328.8700000000008"/>
    <n v="8328.8700000000008"/>
    <n v="0"/>
    <n v="8328.8700000000008"/>
    <n v="0.32373879247315968"/>
    <n v="-17398.259999999998"/>
    <n v="8328.8700000000026"/>
    <n v="0"/>
    <n v="0"/>
    <s v="One Time Funding"/>
    <n v="1708"/>
    <s v="No"/>
    <s v="No"/>
    <x v="1"/>
    <x v="3"/>
  </r>
  <r>
    <x v="1"/>
    <s v="22OCHA01"/>
    <s v="Office for Consumer Health Assistance"/>
    <n v="3204"/>
    <d v="2022-07-01T00:00:00"/>
    <d v="2023-06-30T00:00:00"/>
    <n v="364"/>
    <n v="1"/>
    <n v="173353"/>
    <n v="0"/>
    <n v="0"/>
    <n v="173353"/>
    <n v="173353"/>
    <n v="0"/>
    <n v="173353"/>
    <s v="22FRF32041"/>
    <s v="Funded a projected revenue shortfall related to a reduction in billable activities. The Office for Consumer Health Assistance, which includes the Bureau of Hospital Patients, a Workers Compensation Program, and the Office of Minority Health, provides a single point of contact for consumers statewide, including members of minority groups and injured workers regarding health care issues. The objective is to help understand their rights and responsibilities under various Nevada health care-related laws and health care plans, including industrial insurance policies. In addition, the office disseminates information through outreach activities including counseling, education and advocacy to increase awareness of and access to health care services."/>
    <s v="This project continued to pay costs incurred for delivering services to the community, which included outreach, counseling, education and advocacy to increase awareness of and access to health care services."/>
    <s v="Continuation of delivering health care services assistance."/>
    <s v="Project completed. All funds have been expended."/>
    <x v="2"/>
    <n v="173353"/>
    <n v="0"/>
    <n v="173353"/>
    <n v="173353"/>
    <n v="0"/>
    <n v="173353"/>
    <n v="1"/>
    <n v="0"/>
    <n v="173353"/>
    <n v="0"/>
    <n v="0"/>
    <s v="One Time Funding"/>
    <s v="N/A"/>
    <s v="N/A"/>
    <s v="No"/>
    <x v="0"/>
    <x v="3"/>
  </r>
  <r>
    <x v="1"/>
    <s v="22HHRHD01"/>
    <s v="Helping Hands Rural Home Delivered Meals"/>
    <n v="3266"/>
    <d v="2022-04-01T00:00:00"/>
    <d v="2023-03-31T00:00:00"/>
    <n v="364"/>
    <n v="1"/>
    <n v="626889.56999999995"/>
    <n v="0"/>
    <n v="0"/>
    <n v="626889.56999999995"/>
    <n v="626889.56999999995"/>
    <n v="0"/>
    <n v="626889.56999999995"/>
    <s v="22FRF32661"/>
    <s v="Sub-award to Helping Hands Rural Home Delivered Meals under the Community Recovery Grant."/>
    <s v="Increased number of households that received food or food assistance. "/>
    <s v="Served vulnerable and rural populations. Funding was subawarded to  community partners who provided food services in rural counties including:   Lincoln, Nye, Esmeralda, Carson City, Churchill, Lyon, and Mineral. "/>
    <s v="Project completed. All funds have been expended. "/>
    <x v="2"/>
    <n v="626889.56999999995"/>
    <n v="0"/>
    <n v="626889.56999999995"/>
    <n v="626889.56999999995"/>
    <n v="0"/>
    <n v="626889.56999999995"/>
    <n v="1"/>
    <n v="0"/>
    <n v="626889.56999999995"/>
    <n v="0"/>
    <n v="0"/>
    <s v="One Time Funding"/>
    <n v="3485"/>
    <s v="No"/>
    <s v="No"/>
    <x v="1"/>
    <x v="3"/>
  </r>
  <r>
    <x v="1"/>
    <s v="23CMSMI01"/>
    <s v="Data System Modernization and Integration"/>
    <n v="3151"/>
    <d v="2022-10-20T00:00:00"/>
    <d v="2026-12-31T00:00:00"/>
    <n v="1533"/>
    <n v="0.61578604044357466"/>
    <n v="7500000"/>
    <n v="0"/>
    <m/>
    <n v="7500000"/>
    <n v="7500000"/>
    <n v="0"/>
    <n v="7500000"/>
    <s v="23FRF31513"/>
    <s v="Funding is used to contract a vendor to design, develop, and implement ADSD's data system modernization, and contract two IT augmentation positions through the funding period."/>
    <s v="This project will benefit several public assistance programs and ensure timely access to services by Nevada's most vulnerable populations.  "/>
    <s v="Increase response and communication for accessing services.  "/>
    <s v="Multiple contracts and projects in place.  All funding obligated and expected to be fully expended by 12/31/26.  _x000a_"/>
    <x v="1"/>
    <n v="2501966.6"/>
    <n v="0"/>
    <n v="2501966.6"/>
    <n v="1495211.2600000002"/>
    <n v="151159.93"/>
    <n v="1646371.1900000002"/>
    <n v="0.21951615866666668"/>
    <n v="0"/>
    <n v="7500000"/>
    <n v="0"/>
    <n v="4998033.4000000004"/>
    <s v="One Time Funding"/>
    <s v="N/A"/>
    <s v="No"/>
    <s v="No"/>
    <x v="0"/>
    <x v="0"/>
  </r>
  <r>
    <x v="1"/>
    <s v="23CONSV01"/>
    <s v="Agency Operation Improvements"/>
    <n v="3151"/>
    <d v="2022-10-20T00:00:00"/>
    <d v="2024-06-30T00:00:00"/>
    <n v="619"/>
    <n v="1.5250403877221326"/>
    <n v="1040000"/>
    <n v="0"/>
    <n v="0"/>
    <n v="1040000"/>
    <n v="1040000"/>
    <n v="0"/>
    <n v="1040000"/>
    <s v="23FRF31512"/>
    <s v="Two contracts to help ADSD improve processes and systems and implement complex federal regulations. Contract 1 provided business process redesign (BPR) to steamline intake and case management, create efficiency in workflows, centralize activties and remove duplication to improve access to care for clients within the Autism Treatment Assistance Program, Developmental Services and Office of Community Living. Contract 2 provided consulting, technical assistance, and program evaluation for Enhancing Home and Community-Based Services Regulations. This portion of the project evaluated ADSD's home and community-based waiver program compliance with federal regulations, made recommendations for program improvement in relation to those regulations, and provided staff with training needed to implement program improvement."/>
    <s v="To increase ADSD program efficiencies, as well as ensure compliance with federal home- and community-based waiver service regulations. "/>
    <s v="Ensure internal program processes are efficient to best serve individuals in need of ADSD services. Ensure home- and community-based waiver programs are in compliance with federal regulations to maintain federal funding and improve waiver service delivery."/>
    <s v="Contract 1 was completed on 06/2024 and with all objectives met. The $26,966.92 remaining in Contract 2 will be expended by 6/30/25.  _x000a_"/>
    <x v="0"/>
    <n v="1040000"/>
    <n v="0"/>
    <n v="1040000"/>
    <n v="1013033.0800000001"/>
    <n v="0"/>
    <n v="1013033.0800000001"/>
    <n v="0.97407026923076934"/>
    <n v="0"/>
    <n v="1040000"/>
    <n v="0"/>
    <n v="0"/>
    <s v="One Time Funding"/>
    <s v="N/A"/>
    <s v="No"/>
    <s v="No"/>
    <x v="0"/>
    <x v="0"/>
  </r>
  <r>
    <x v="1"/>
    <s v="23DRCFL01"/>
    <s v="Desert Regional Center, Intermediate Care Facility Flooring"/>
    <n v="3279"/>
    <d v="2022-08-18T00:00:00"/>
    <d v="2024-06-30T00:00:00"/>
    <n v="682"/>
    <n v="1.4765395894428153"/>
    <n v="87690"/>
    <n v="0"/>
    <n v="0"/>
    <n v="87690"/>
    <n v="87690"/>
    <n v="0"/>
    <n v="87690"/>
    <s v="23FRF32791"/>
    <s v="This funding was used to purchase and install new high-quality, high-traffic flooring at Desert Regional Center, an intermediate care facility (ICF) operated by ADSD."/>
    <s v="Flooring was showing signs of wear and tear and was difficult to maintain.  Installation of new flooring provides consistency across all homes at the facility and streamline cleaning procedures."/>
    <s v="Purchase and installation of new high-quality and high-traffic flooring to streamline and improve cleaning procedures, and to promote cleanliness and positive health outcomes."/>
    <s v="Project completed 6/30/2024.  Remaining funds of $7,775.06 were deobligated, however agency is bringing the funds back in to fully expend; Work Program 25FRF32793 is pending to re-obligate funds.  Flooring installed in 1308, 1301 and 1306."/>
    <x v="3"/>
    <n v="79914.94"/>
    <m/>
    <n v="79914.94"/>
    <n v="79914.94"/>
    <m/>
    <n v="79914.94"/>
    <n v="0.91133470179039799"/>
    <n v="0"/>
    <n v="87690"/>
    <n v="0"/>
    <n v="7775.0599999999977"/>
    <s v="One Time Funding"/>
    <n v="12"/>
    <s v="No"/>
    <s v="No"/>
    <x v="2"/>
    <x v="0"/>
  </r>
  <r>
    <x v="1"/>
    <s v="23FCWPL01"/>
    <s v="Personal Care Workforce Impact"/>
    <s v="3266/78"/>
    <d v="2022-10-20T00:00:00"/>
    <d v="2026-12-31T00:00:00"/>
    <n v="1533"/>
    <n v="0.61578604044357466"/>
    <n v="5000000"/>
    <n v="-2000000"/>
    <m/>
    <n v="3000000"/>
    <n v="5000000"/>
    <n v="-2000000"/>
    <n v="5000000"/>
    <s v="23FRF32669"/>
    <s v="To establish a Caregiving Training Institute utilizing a consensus curriculum to train professional caregivers."/>
    <s v="The COVID-19 pandemic has exacerbated the personal care workforce shortage. This project aims to build a consensus-based training curriculum, while also supporting workforce development through outreach and incentives for recruitment and retention.  "/>
    <s v="This project is critical to Olmstead compliance to help people with disabilities stay out of institutional settings.  The availability of personal care professionals is critical to providing home- and community-based services.  "/>
    <s v="Contract to develop caregiver training is in progress.  Initial delays were due to limited staff resources to support the project but, the project is now on target.  A second contract for the outreach component will begin in the 2nd quarter of SFY2026. "/>
    <x v="1"/>
    <n v="3000000"/>
    <n v="0"/>
    <n v="3000000"/>
    <n v="24753.68"/>
    <n v="155960.78"/>
    <n v="180714.46"/>
    <n v="3.6142891999999996E-2"/>
    <n v="-2000000"/>
    <n v="3000000"/>
    <n v="2000000"/>
    <n v="0"/>
    <s v="One Time Funding"/>
    <s v="N/A"/>
    <s v="No"/>
    <s v="No"/>
    <x v="0"/>
    <x v="1"/>
  </r>
  <r>
    <x v="1"/>
    <s v="23HBSMS01"/>
    <s v="Home-Delivered Meals for Older Adults"/>
    <s v="3266/78"/>
    <d v="2022-10-20T00:00:00"/>
    <d v="2025-06-30T00:00:00"/>
    <n v="984"/>
    <n v="0.95934959349593496"/>
    <n v="2909528"/>
    <n v="-400000"/>
    <m/>
    <n v="2509528"/>
    <n v="2909528"/>
    <n v="-400000"/>
    <n v="2909528"/>
    <s v="23FRF32663"/>
    <s v="Sub-award to existing community partners to increase program capacity by providing home-delivered meals and necessary equipment"/>
    <s v="Funding is subawarded to existing subrecipients who provide home delivered meal services to help build capacity and to reduce waitlists of older adults in need of home delivered meals. "/>
    <s v="Supports independent living for older adults through nutritious meals."/>
    <s v="All funds have been obligated to 11 existing community partners to increase capacity and address waitlists. All funds expected to be expended.  "/>
    <x v="0"/>
    <n v="2509527.75"/>
    <n v="0"/>
    <n v="2509527.75"/>
    <n v="2173071.61"/>
    <n v="1809.13"/>
    <n v="2174880.7399999998"/>
    <n v="0.74750294205795575"/>
    <n v="-400000"/>
    <n v="2509528"/>
    <n v="400000"/>
    <n v="0"/>
    <s v="One Time Funding"/>
    <n v="0"/>
    <s v="No"/>
    <s v="No"/>
    <x v="0"/>
    <x v="3"/>
  </r>
  <r>
    <x v="1"/>
    <s v="23TELEQ01"/>
    <s v="Telework Equipment"/>
    <n v="3151"/>
    <d v="2022-10-20T00:00:00"/>
    <d v="2023-06-30T00:00:00"/>
    <n v="253"/>
    <n v="1"/>
    <n v="240000"/>
    <n v="-20101.62"/>
    <m/>
    <n v="219898.38"/>
    <n v="219898.38"/>
    <n v="0"/>
    <n v="240000"/>
    <s v="23FRF31511"/>
    <s v="Funding was used to purchase IT equipment to support remote work to mitigate the risk of infection disease transmission to the most vulnerable populations."/>
    <s v="Increase efficiency and productivity for a hybrid work environment.  "/>
    <s v="Ensure team members are able to appropriately respond to public inquiries and continue vital services in a hybrid environment. "/>
    <s v="Project completed. Remaining funds were de-obligated."/>
    <x v="2"/>
    <n v="219898.38"/>
    <n v="0"/>
    <n v="219898.38"/>
    <n v="219898.38"/>
    <n v="0"/>
    <n v="219898.38"/>
    <n v="0.91624325000000006"/>
    <n v="-20101.62"/>
    <n v="219898.38"/>
    <n v="0"/>
    <n v="0"/>
    <s v="One Time Funding"/>
    <s v="N/A"/>
    <s v="No"/>
    <s v="No"/>
    <x v="0"/>
    <x v="0"/>
  </r>
  <r>
    <x v="1"/>
    <s v="23INHSV01"/>
    <s v="Assistive Technology for Independent Living (AT/IL) Program and Home Safety, Modification, Repair Services and Bed Bug Remediation"/>
    <s v="3266/78"/>
    <d v="2022-10-20T00:00:00"/>
    <d v="2026-12-31T00:00:00"/>
    <n v="1533"/>
    <n v="0.61578604044357466"/>
    <n v="2090000"/>
    <n v="-59280"/>
    <m/>
    <n v="2030720"/>
    <n v="2090000"/>
    <n v="-59280"/>
    <n v="2090000"/>
    <s v="23FRF32661"/>
    <s v="To reduce the waitlists for the AT/IL, Home Safety Modification and Repair Services, and Bed Bug Remediation programs."/>
    <s v="Will support individual's ability to remain safe, and independent in their own homes. Whether it’s providing adaptive technology to enhance daily life, modifying homes to improve safety and accessibility, repairing critical household infrastructure, or eradicating bed bug infestations, these programs aid in improving quality of life. This funding is used to help address wait times and wait lists to of individuals seeking to live comfortably, independently, and with dignity in their own homes."/>
    <s v="Prioritize those currently on waitlists."/>
    <s v="All funds have been obligated and all funds are expected to be expended."/>
    <x v="0"/>
    <n v="2030668.26"/>
    <n v="0"/>
    <n v="2030668.26"/>
    <n v="1898936"/>
    <n v="0"/>
    <n v="1898936"/>
    <n v="0.90858181818181816"/>
    <n v="-59280"/>
    <n v="2030720"/>
    <n v="59280"/>
    <n v="51.739999999990687"/>
    <s v="One Time Funding"/>
    <n v="13"/>
    <s v="No"/>
    <s v="No"/>
    <x v="0"/>
    <x v="3"/>
  </r>
  <r>
    <x v="1"/>
    <s v="23TMCSY01"/>
    <s v="Desert Regional Center, Intermediate Care Facility Electric Time Clock Installation"/>
    <n v="3279"/>
    <d v="2022-08-18T00:00:00"/>
    <d v="2023-06-30T00:00:00"/>
    <n v="316"/>
    <n v="3.1867088607594938"/>
    <n v="3816"/>
    <n v="0"/>
    <m/>
    <n v="3816"/>
    <n v="3816"/>
    <n v="0"/>
    <n v="3816"/>
    <s v="23FRF32793"/>
    <s v="Purchase and installation of an electric time clock system that allows employees to clock in and out for their shifts."/>
    <s v="N/A"/>
    <s v="N/A"/>
    <s v="Project completed 06/30/2023.  100% of funds were de-obligated."/>
    <x v="4"/>
    <n v="3816"/>
    <m/>
    <n v="3816"/>
    <n v="0"/>
    <m/>
    <n v="0"/>
    <n v="0"/>
    <m/>
    <n v="3816"/>
    <n v="0"/>
    <n v="0"/>
    <s v="One Time Funding"/>
    <s v="N/A"/>
    <s v="N/A"/>
    <s v="No"/>
    <x v="2"/>
    <x v="0"/>
  </r>
  <r>
    <x v="1"/>
    <s v="23MCSVC01"/>
    <s v="Enhancing Health Literacy for Nevada's Underserved Populations"/>
    <s v="3266/78"/>
    <d v="2022-10-20T00:00:00"/>
    <d v="2024-12-31T00:00:00"/>
    <n v="803"/>
    <n v="1.1755915317559154"/>
    <n v="470000"/>
    <n v="0"/>
    <m/>
    <n v="470000"/>
    <n v="470000"/>
    <n v="0"/>
    <n v="470000"/>
    <s v="23FRF32664"/>
    <s v="Contract a vendor to redesign/enhance ADSD's website and conduct a marketing and outreach campaign."/>
    <s v="ADSD mobilized the Nevada CAN network  to ensure older adults and people with disabilities were connected to critical services at the beginning of the pandemic.  This effort, along with Olmstead Planning feedback highlighted the importance of ADSD enhancing  their existing website and messaging to help the general population more easily recognize the services we have to offer and ensure people are connecting to services that are critical social determinants of health.  "/>
    <s v="ADSD is starting with a re-branding to simplify messaging for Nevadans and is also investing in a re-designed website that uses modern interfacing and organizational structure to highlight programs and services;  this project will also result in revised program materials and an outreach campaign aimed at promoting ADSD throughout Nevada.  "/>
    <s v="Project is on target to be fully expended by 6/30/25. Public launch of branding scheduled for May 2025 to include website updates.  "/>
    <x v="0"/>
    <n v="470000"/>
    <n v="0"/>
    <n v="470000"/>
    <n v="364538.73"/>
    <n v="30729.68"/>
    <n v="395268.41"/>
    <n v="0.84099661702127659"/>
    <n v="0"/>
    <n v="470000"/>
    <n v="0"/>
    <n v="0"/>
    <s v="One Time Funding/Budget Request"/>
    <s v="N/A"/>
    <s v="No"/>
    <s v="No"/>
    <x v="0"/>
    <x v="0"/>
  </r>
  <r>
    <x v="1"/>
    <s v="23NEISA01"/>
    <s v="Nevada Early Intervention Services"/>
    <n v="3208"/>
    <d v="2022-10-20T00:00:00"/>
    <d v="2024-12-31T00:00:00"/>
    <n v="803"/>
    <n v="1"/>
    <n v="199200"/>
    <m/>
    <m/>
    <n v="199200"/>
    <n v="199200"/>
    <n v="0"/>
    <n v="199200"/>
    <s v="23FRF32082"/>
    <s v="In this project, the consulting firm, Health Management Associates (HMA) were contracted to conduct an analysis of the Nevada's Early Intervention System (NEIS) model and provide recommendations on the best proactive service delivery model. The contract with HMA for this project ended on 12/31/2023 and final copy of report provided to program on 6/7/2024."/>
    <s v="A provider rate study, completed in 2022 by HMA, helped ADSD and NEIS recognize how provider rates and system costs are substantially influenced by the systems design. With HMA's System stude, we were able to evaluate the current structure of the NEIS system to support potential changes to policies, practices, and contracts.  We considered the impacts of system design on providers and State programs and how it affects program costs and provider sustainability."/>
    <s v="The experiences of the COVID-19 pandemic have shown how fragile the NEIS system is. The need for sustainability planning is critical to the system’s success. Ultimately, ensuring children and families are receiving timely and appropriate services to support the development of the children in the program. Equally important is to strengthen and sustain the system for the service providers who provide these critical services to children."/>
    <s v="Project completed. Remaining funds were de-obligated."/>
    <x v="2"/>
    <n v="166050"/>
    <m/>
    <n v="166050"/>
    <n v="166050"/>
    <m/>
    <n v="166050"/>
    <n v="0.83358433734939763"/>
    <n v="-33150"/>
    <n v="166050"/>
    <n v="33150"/>
    <n v="0"/>
    <s v="One Time Funding"/>
    <s v="N/A"/>
    <s v="No"/>
    <s v="No"/>
    <x v="0"/>
    <x v="0"/>
  </r>
  <r>
    <x v="1"/>
    <s v="23NVEIS01"/>
    <s v="NEIS Telemedicine Mobile Carts"/>
    <n v="3208"/>
    <d v="2022-08-17T00:00:00"/>
    <d v="2023-08-16T00:00:00"/>
    <n v="364"/>
    <n v="1"/>
    <n v="5201"/>
    <m/>
    <m/>
    <n v="5201"/>
    <n v="5201"/>
    <n v="0"/>
    <n v="5201"/>
    <s v="23FRF32081"/>
    <s v="Telemedicine Mobile Carts have allowed providers to evaluate children remotely through telehealth services; especially autism diagnostic assessments to families in rural and frontier areas. "/>
    <s v="No further expenses for these one time costs. "/>
    <s v="This has allowed a group of experts to evaluate children when families are not able to be physically in the office. Having these units in all offices has supported statewide access to Early Intervention Services. Providing additional access to telehealth services also reduces potential exposure of children already at high risk of COVID-19 and who otherwise are medically fragile."/>
    <s v="Project completed."/>
    <x v="2"/>
    <n v="4276.04"/>
    <m/>
    <n v="4276.04"/>
    <n v="4276.04"/>
    <m/>
    <n v="4276.04"/>
    <n v="0.82215727744664491"/>
    <n v="-924.96"/>
    <n v="4276.04"/>
    <n v="924.96"/>
    <n v="0"/>
    <s v="One Time Funding"/>
    <s v="N/A"/>
    <s v="No"/>
    <s v="No"/>
    <x v="0"/>
    <x v="0"/>
  </r>
  <r>
    <x v="1"/>
    <s v="23RESSV01"/>
    <s v="Mobile Respite Program"/>
    <s v="3266/78"/>
    <d v="2022-10-20T00:00:00"/>
    <d v="2024-12-31T00:00:00"/>
    <n v="803"/>
    <n v="1"/>
    <n v="1788960"/>
    <n v="-1788960"/>
    <m/>
    <n v="0"/>
    <m/>
    <n v="0"/>
    <n v="1788960"/>
    <s v="23FRF32668"/>
    <s v="Funding was to be used for the creation and implementation of a pilot mobile respite program and contract staffing for administration tasks."/>
    <s v="The Mobile Respite was targeted to rural communities where there is historically few respite options.  Caregivers were disproportionately impacted as a result of COVID-19 quarantines.  Impacts physical and mental well-being."/>
    <s v="Project plans were to publish a competitive Notice of Funding Opportunity to support the initial investment for one or more mobile respite programs. Remaining funding was to be used to support waitlist with existing subrecipients providing respite."/>
    <s v="Project not implemented. Funding de-obligated and returned to GFO. "/>
    <x v="2"/>
    <n v="0"/>
    <n v="0"/>
    <n v="0"/>
    <n v="0"/>
    <n v="0"/>
    <n v="0"/>
    <n v="0"/>
    <n v="-1788960"/>
    <n v="0"/>
    <n v="0"/>
    <n v="0"/>
    <s v="N/A"/>
    <s v="N/A"/>
    <s v="N/A"/>
    <s v="No"/>
    <x v="1"/>
    <x v="3"/>
  </r>
  <r>
    <x v="1"/>
    <s v="23RFPCN01"/>
    <s v="Specialized Intensive Services of Developmental Services"/>
    <n v="3279"/>
    <d v="2022-10-20T00:00:00"/>
    <d v="2024-12-31T00:00:00"/>
    <n v="803"/>
    <n v="1.1755915317559154"/>
    <n v="14520000"/>
    <n v="-2000000"/>
    <m/>
    <n v="12520000"/>
    <n v="14520000"/>
    <n v="-2000000"/>
    <n v="14520000"/>
    <s v="23FRF32795"/>
    <s v="To hire a consultant to assist in the development of a competitive RFP for Intensive Behavioral Support Homes, and Funding for payment of services provided by the selected contracted service provider(s)."/>
    <s v="Hiring a consultant to assist in the development of a competitive RFP for Intensive Behavioral Support Homes, and Funding for payment of services provided by the selected contracted service provider(s) will allow regional centers providing Developmental Services the ability to support the high dollar, intensive cases across the state."/>
    <s v="Providing services to the high dollar, intensive cases across the state will improve outcomes for those individuals and their families that are in need of this crucial service."/>
    <s v="Multiple projects in process.  Evaluating expenditures and project plans due to potential shifts in project.  "/>
    <x v="1"/>
    <n v="499377.39"/>
    <m/>
    <n v="499377.39"/>
    <n v="499377.39"/>
    <m/>
    <n v="499377.39"/>
    <n v="3.4392382231404957E-2"/>
    <n v="-2000000"/>
    <n v="12520000"/>
    <n v="2000000"/>
    <n v="0"/>
    <s v="One Time Funding"/>
    <n v="0"/>
    <s v="No"/>
    <s v="No"/>
    <x v="0"/>
    <x v="4"/>
  </r>
  <r>
    <x v="1"/>
    <s v="23RSBEX01"/>
    <s v="Community Based Care Capacity Building"/>
    <s v="3266/78"/>
    <d v="2022-10-20T00:00:00"/>
    <d v="2025-12-31T00:00:00"/>
    <n v="1168"/>
    <n v="0.80821917808219179"/>
    <n v="4000000"/>
    <n v="0"/>
    <m/>
    <n v="4000000"/>
    <n v="4000000"/>
    <n v="0"/>
    <n v="4000000"/>
    <s v="23FR326610"/>
    <s v="Sub-grant to community partners for construction, equipment, licensure, or other modifications needed to increase the number of available facility beds."/>
    <s v="Will increase residential facility bed availability. "/>
    <s v="Safe, stable living spaces for most vulnerable populations."/>
    <s v="All funds have been obligated and are expected to be expended. Two construction projects were completed in March 2025. Remaining construction projects are projected to be completed by 12/31/2025."/>
    <x v="1"/>
    <n v="4000000"/>
    <n v="0"/>
    <n v="4000000"/>
    <n v="1462147.72"/>
    <n v="381971.24"/>
    <n v="1844118.96"/>
    <n v="0.46102973999999997"/>
    <n v="0"/>
    <n v="4000000"/>
    <n v="0"/>
    <n v="0"/>
    <s v="One Time Funding"/>
    <s v="N/A"/>
    <s v="No"/>
    <s v="No"/>
    <x v="0"/>
    <x v="0"/>
  </r>
  <r>
    <x v="1"/>
    <s v="23SPINC01"/>
    <s v="Desert Regional Center, Intermediate Care Facility Speaker/Intercom Replacement"/>
    <n v="3279"/>
    <d v="2022-08-18T00:00:00"/>
    <d v="2023-06-30T00:00:00"/>
    <n v="316"/>
    <n v="1"/>
    <n v="10516"/>
    <m/>
    <m/>
    <n v="10516"/>
    <n v="10516"/>
    <n v="0"/>
    <n v="10516"/>
    <s v="23FRF32792"/>
    <s v="This project replaced the speaker/intercom system at Desert Regional Center, an intermediate care facility (ICF)."/>
    <s v="Replacement of the speaker/intercom system at Desert Willow will allow for increased ability to communicate across campus when additional assistance is needed to support residents of the ICF."/>
    <s v="Increased ability to communicate across campus when additional assistance is needed for an ICF resident will result in faster response time and quicker intervention when needed."/>
    <s v="Project completed 4/19/2023.  Funds fully expended."/>
    <x v="2"/>
    <n v="10516"/>
    <m/>
    <n v="10516"/>
    <n v="10516"/>
    <m/>
    <n v="10516"/>
    <n v="1"/>
    <n v="0"/>
    <n v="10516"/>
    <n v="0"/>
    <n v="0"/>
    <s v="One Time Funding"/>
    <n v="41"/>
    <s v="No"/>
    <n v="0"/>
    <x v="2"/>
    <x v="0"/>
  </r>
  <r>
    <x v="1"/>
    <s v="24VCRE01"/>
    <s v="ADSD Video Conference Equipment"/>
    <n v="3278"/>
    <d v="2024-04-01T00:00:00"/>
    <d v="2024-12-31T00:00:00"/>
    <n v="274"/>
    <n v="0.11"/>
    <n v="118560"/>
    <m/>
    <m/>
    <n v="118560"/>
    <n v="118560"/>
    <s v=" $                               -  "/>
    <n v="118560"/>
    <s v=" 24FRF32788 "/>
    <s v="Equipment and furniture for conference rooms across the Aging and Disability Services Division (ADSD)."/>
    <s v="This new project will enable ADSD to upgrade existing technology in its conference rooms to support community engagement, training and planning efforts."/>
    <s v="New technology in ADSD conference rooms will allow the division to increase community engagement through both in-person and virtual meeting options that are easy for individuals to access. "/>
    <s v="All funds have been obligated and expected to be expended by the end of the project period.  "/>
    <x v="5"/>
    <n v="116253.72"/>
    <n v="0"/>
    <n v="116253.72"/>
    <n v="116253.72"/>
    <n v="0"/>
    <n v="116253.72"/>
    <n v="0.98054757085020239"/>
    <m/>
    <n v="118560"/>
    <n v="0"/>
    <n v="2306.2799999999988"/>
    <s v=" One Time Funding "/>
    <s v="N/A"/>
    <s v="No"/>
    <s v="No"/>
    <x v="0"/>
    <x v="0"/>
  </r>
  <r>
    <x v="1"/>
    <s v="23TELTR01"/>
    <s v="Geriatric and Telehealth Workforce Training"/>
    <s v="3266/78"/>
    <d v="2023-07-01T00:00:00"/>
    <d v="2025-06-30T00:00:00"/>
    <n v="730"/>
    <n v="0.9452054794520548"/>
    <n v="843813"/>
    <n v="0"/>
    <m/>
    <n v="843813"/>
    <n v="843813"/>
    <n v="0"/>
    <n v="843813"/>
    <s v="23FRF32667"/>
    <s v="Funds for this project will be sub-awarded to existing community partners to increase telehealth services by expanding training to providers."/>
    <s v="Increases the accessibility of primary care services for more patients, especially older adults and persons with disabilities, as well as their family caregivers. Provides research data. "/>
    <s v="Service to priority populations to support accessibility of primary care services in all areas."/>
    <s v="All funds have been obligated and are expected to be expended by 6/30/25. "/>
    <x v="0"/>
    <n v="843813"/>
    <n v="0"/>
    <n v="843813"/>
    <n v="656745.5"/>
    <n v="51720.51"/>
    <n v="708466.01"/>
    <n v="0.83960072907148864"/>
    <n v="0"/>
    <n v="843813"/>
    <n v="0"/>
    <n v="0"/>
    <s v="One Time Funding"/>
    <n v="120"/>
    <s v="No"/>
    <s v="No"/>
    <x v="0"/>
    <x v="1"/>
  </r>
  <r>
    <x v="2"/>
    <s v="22EQRO01"/>
    <s v="Medicaid EQRO"/>
    <n v="3158"/>
    <d v="2022-04-12T00:00:00"/>
    <d v="2022-06-30T00:00:00"/>
    <n v="79"/>
    <n v="1"/>
    <n v="619026"/>
    <n v="-12457.1"/>
    <m/>
    <n v="606568.9"/>
    <n v="606568.9"/>
    <n v="0"/>
    <n v="619026"/>
    <s v="22FRF31581"/>
    <s v="Project ended 06/30/2022. To establish a special use category to cover the additional costs associated with the contract for Health Services Advisory Group (HSAG). DHCFP is federally required to have an EQRO perform mandated activities related to MCO readiness reviews and the Independent Assessment required for the 1915(b) Dental Waiver. "/>
    <s v="HSAG is the External Quality Review Organization (EQRO) for the Managed Care Organization (MCO) and Dental Wavier related activities with DHCFP."/>
    <s v="N/A"/>
    <s v="Project ended 06/30/2022. By allowing the additional funding to the EQRO contract, it allowed Nevada to remain in compliance with 42 CFR 438.358(b) and (c) and expand access to care/coverage.  "/>
    <x v="2"/>
    <n v="606569"/>
    <m/>
    <n v="606569"/>
    <n v="606568.9"/>
    <n v="0"/>
    <n v="606568.9"/>
    <n v="0.97987628952580352"/>
    <n v="-12457.1"/>
    <n v="606568.9"/>
    <n v="0"/>
    <n v="-9.9999999976716936E-2"/>
    <s v=" One Time Funding"/>
    <s v="N/A"/>
    <s v="N/A"/>
    <s v="No"/>
    <x v="0"/>
    <x v="2"/>
  </r>
  <r>
    <x v="2"/>
    <s v="23SRASC01"/>
    <s v="DHCFP - Security Risk Assessment Contract"/>
    <n v="3158"/>
    <d v="2022-10-20T00:00:00"/>
    <d v="2023-06-30T00:00:00"/>
    <n v="253"/>
    <n v="1"/>
    <n v="160000"/>
    <n v="-16050"/>
    <m/>
    <n v="143950"/>
    <n v="143950"/>
    <n v="0"/>
    <n v="160000"/>
    <s v="23FR31581"/>
    <s v="Project ended 06/30/2023. For the Biennial Internal Security Risk Assessment per 2 CFR 200.500 (Audit Requirements) to review the Security Controls, Policies and Procedures used to protect the significant amount of protected/sensitive Health Information utilized by the Division of Health Care Financing &amp; Policy as mandated by the Centers for Medicare and Medicaid Services (CMS)."/>
    <s v="This request funds contractual obligations for a biennial internal security risk assessment pursuant to 2 CFR 200.500 (Audit Requirements).  The assessment reviews the Security Controls, Policies and Procedures used to protect the significant amount of protected/sensitive Health Information utilized by the Division.  "/>
    <s v=" These assessments are audited by a Federally Contracted Entity directed by the Centers for Medicare and Medicaid Services (CMS).  These audits are required by Federal Regulation and non-compliance will result in corrective actions and fines from the Centers for Medicare and Medicaid Services (CMS)."/>
    <s v="Project completed on 06/30/2023 and remaining balance of $16,050 will be de-obligated. "/>
    <x v="2"/>
    <n v="143950"/>
    <m/>
    <n v="143950"/>
    <n v="143950"/>
    <n v="0"/>
    <n v="143950"/>
    <n v="0.89968749999999997"/>
    <n v="-16050"/>
    <n v="143950"/>
    <n v="0"/>
    <n v="0"/>
    <s v=" One Time Funding"/>
    <s v="N/A"/>
    <s v="N/A"/>
    <s v="No"/>
    <x v="0"/>
    <x v="0"/>
  </r>
  <r>
    <x v="2"/>
    <s v="23LARCS01"/>
    <s v="DHCFP - Long-Acting Reversible Contraceptives (LARCs)"/>
    <n v="3158"/>
    <d v="2022-10-20T00:00:00"/>
    <d v="2023-06-30T00:00:00"/>
    <n v="253"/>
    <n v="1"/>
    <n v="750000"/>
    <n v="-750000"/>
    <m/>
    <n v="0"/>
    <n v="0"/>
    <n v="0"/>
    <n v="750000"/>
    <s v="23FR315802"/>
    <s v="De-obligation submitted to GFO 6/14/23. Please see notes and recommend removing this funding. The original funding amount was $750,000._x000a_To cover the cost of Long-Acting Reversible Contraceptives (LARCs), outside of the medical encounter rate for Federally Qualified Health Centers (FQHCs). "/>
    <s v="To cover the cost of the LARC devices and allow the FQHCS to maintain a supply to offer same-day services for insertion and reducing the number of unnwanted pregnancies."/>
    <s v="The funding of the LARC devices and facilitating the maintenance of stock on hand, will allow greater access to the services and reduce the number of unwanted pregnancies. "/>
    <s v="De-obligation submitted to GFO 6/14/23."/>
    <x v="2"/>
    <n v="0"/>
    <m/>
    <n v="0"/>
    <n v="0"/>
    <n v="0"/>
    <n v="0"/>
    <m/>
    <n v="-750000"/>
    <n v="0"/>
    <n v="0"/>
    <n v="0"/>
    <s v=" One Time Funding"/>
    <s v="N/A"/>
    <s v="N/A"/>
    <s v="No"/>
    <x v="0"/>
    <x v="2"/>
  </r>
  <r>
    <x v="2"/>
    <s v="23HCWSS01"/>
    <s v="DHCFP - Health Care Workforce Scholarships"/>
    <n v="3158"/>
    <d v="2022-10-20T00:00:00"/>
    <d v="2025-06-30T00:00:00"/>
    <n v="984"/>
    <n v="1"/>
    <n v="5500000"/>
    <n v="-5494300"/>
    <m/>
    <n v="5700"/>
    <n v="5700"/>
    <n v="0"/>
    <n v="5500000"/>
    <s v="23FR315810"/>
    <s v="This project was transferred to DPBH via WP C63699.  Recommend removing from DHCFP reporting. Original funding amount was $5,500,000. DPBH plans to submit a work program to the October 2023 IFC to establish authority (DHCFP will need to complete a companion work program at that time to deobligate authority). _x000a_To provide Health Care Workforce Schoarships  for training and certification programs."/>
    <s v="The Community Health Worker (CHW) program provides an entry level position into the health care field. Scholarships would be offered as incentives to encourage more individuals to complete the training and certification programs. "/>
    <s v="To help alleviate the staffing shortages of qualified healthcare workers."/>
    <s v="This project was transferred to DPBH via WP C63699. "/>
    <x v="2"/>
    <n v="5700"/>
    <m/>
    <n v="5700"/>
    <n v="5700"/>
    <n v="0"/>
    <n v="5700"/>
    <n v="1.0363636363636363E-3"/>
    <n v="-5494300"/>
    <n v="5700"/>
    <n v="0"/>
    <n v="0"/>
    <s v=" One Time Funding"/>
    <s v="N/A"/>
    <s v="N/A"/>
    <s v="No"/>
    <x v="0"/>
    <x v="1"/>
  </r>
  <r>
    <x v="2"/>
    <s v="23MCPAS01"/>
    <s v="DHCFP - Medicaid Program Activity Studies"/>
    <n v="3158"/>
    <d v="2022-10-20T00:00:00"/>
    <d v="2024-12-31T00:00:00"/>
    <n v="803"/>
    <n v="1"/>
    <n v="2206575"/>
    <n v="-1456575"/>
    <m/>
    <n v="750000"/>
    <n v="750000"/>
    <n v="0"/>
    <n v="2206575"/>
    <s v="23FR315811"/>
    <s v="This requests the addition of American Rescue Plan Act funds to support studies to guide future Medicaid program activities. Relates to 23F1327128.  This study is to estimate the costs and savings for investing in higher pay for state employees enrolled in Medicaid as a targeted intervention to realize economic benefits that exceed costs and potentially result in overall state savings and tax revenue. _x000a_ Pending de-obligation of $99,491.67."/>
    <s v="These funds will be used to conduct three initiatives/studies: _x000a_(1) modernization of Medicaid payments to hospitals for births and infant care through implementation of DRGs and payment methodologies,_x000a_(2) prenatal care quality improvement data collection and analysis, and _x000a_(3) return on investment analysis of targeted wage increases for state workers on Medicaid.  "/>
    <s v="The end effect of these studies will modernize Medicaid payments to hospitals, aid in prenatal data collection and provide wage justification for state workers on Medicaid."/>
    <s v="Original funding amount was $2,206,575.  DRG study discontinued and agency will de-obligate associated funding ($1,206,575).  ROI study does not require the amount of funding allocated to complete deliverables and agency will de-obligate $250,000 related to this study. ROI Study completed as of 06/30/2024. _x000a_Extension to extend funds to 12/31/2024 for NICU Study approved._x000a_NICU Study completed as of 11/30/2024._x000a_NICU Study: Completed 11/30/2024. Final payment to be paid December 2024. Project is completed. De-obligation of $99,491.67 sent for Fiscal Deputy/ASO4 signature 1/7/2025."/>
    <x v="2"/>
    <n v="750000"/>
    <m/>
    <n v="750000"/>
    <n v="650508.33000000007"/>
    <n v="0"/>
    <n v="650508.33000000007"/>
    <n v="0.29480454097413417"/>
    <n v="-1456575"/>
    <n v="750000"/>
    <n v="0"/>
    <n v="0"/>
    <s v=" One Time Funding"/>
    <s v="N/A"/>
    <s v="N/A"/>
    <s v="No"/>
    <x v="0"/>
    <x v="2"/>
  </r>
  <r>
    <x v="2"/>
    <s v="23EPCRA01"/>
    <s v="DHCFP - Expansion of Prenatal Care in Rural Areas"/>
    <n v="3158"/>
    <d v="2022-10-20T00:00:00"/>
    <d v="2025-06-30T00:00:00"/>
    <n v="984"/>
    <n v="1"/>
    <n v="3901293"/>
    <n v="-3901293"/>
    <m/>
    <n v="0"/>
    <n v="0"/>
    <n v="0"/>
    <n v="3901293"/>
    <s v="23FR315812"/>
    <s v="De-obligation submitted to GFO 6/14/23.  Original amount was $3,901,293._x000a_Federal Qualified Health Center and Rural Health Clinic Prenatal Care Service Expansion Funding. This request will expand access to prenatal services by addressing barriers that limit Federal Qualified Health Center and Rural Health Clinic from offering prenatal services. _x000a_"/>
    <s v="Identified clinics are serves many vulnerable and underserved populations. Currently only 1 FQHC offers offers prenatal care. There are a number of barriers that limit the FQHCs from offering prenatal services. "/>
    <s v="This ARPA request seeks to address the barriers tht limit services with one-time funding to rural and underserved communities.  "/>
    <s v="De-obligation submitted to GFO 6/14/23. "/>
    <x v="2"/>
    <n v="0"/>
    <m/>
    <n v="0"/>
    <n v="0"/>
    <n v="0"/>
    <n v="0"/>
    <m/>
    <n v="-3901293"/>
    <n v="0"/>
    <n v="0"/>
    <n v="0"/>
    <s v=" One Time Funding"/>
    <s v="N/A"/>
    <s v="N/A"/>
    <s v="No"/>
    <x v="1"/>
    <x v="2"/>
  </r>
  <r>
    <x v="2"/>
    <s v="23SUSTF01"/>
    <s v="DCHFP - Support Staff"/>
    <n v="3158"/>
    <d v="2022-10-20T00:00:00"/>
    <d v="2025-06-30T00:00:00"/>
    <n v="984"/>
    <n v="0.95934959349593496"/>
    <n v="1554741"/>
    <n v="252121.78000000003"/>
    <n v="-355515"/>
    <n v="1451347.78"/>
    <n v="1727396"/>
    <n v="-276048.21999999997"/>
    <n v="1554741"/>
    <s v="23FRF31583"/>
    <s v="Fiscal and Operational support due to 38% increase in caseload since the start of the pandemic. _x000a__x000a_Immediate need for fiscal and operational support due to existing and increased requirements of the Medicaid program, which has seen a 38% increase in caseload since start of the pandemic. "/>
    <s v="Medicaid caseload have grown by 38% since the start of the pandemic, with 1 in 4 Nevadans being covered by the program. This workload and level of effort is not sustainable and is leading to worker burn out and turnover.  "/>
    <s v="Additional Medicaid fiscal and support staff will enable the division to maintain all operations, and preventing delays and errors which would result  in opening the state up to audit findings and potentially jeopardizing federal funding."/>
    <s v="Budget_x000a_SFY25: $872,042_x000a_SFY26: $0_x000a_All PCNs are filled as of Feb 2025. All 7 PCNs will use remaining ARPA funds and then transition to 50/50 in SFY 2026."/>
    <x v="0"/>
    <n v="974465.29"/>
    <m/>
    <n v="974465.29"/>
    <n v="968034.54999999993"/>
    <n v="70135.53"/>
    <n v="1038170.08"/>
    <n v="0.66774471117697409"/>
    <n v="-448747.04000000004"/>
    <n v="1105993.96"/>
    <n v="621402.04"/>
    <n v="131528.66999999993"/>
    <s v="Medicaid"/>
    <s v="N/A"/>
    <s v="N/A"/>
    <s v="No"/>
    <x v="0"/>
    <x v="1"/>
  </r>
  <r>
    <x v="2"/>
    <s v="23CHPAC01"/>
    <s v="DHCFP - Contractor Hosp. Provider Assessment and Managed Care State Program"/>
    <n v="3158"/>
    <d v="2022-10-20T00:00:00"/>
    <d v="2026-06-30T00:00:00"/>
    <n v="1349"/>
    <n v="0.69977761304670127"/>
    <n v="3499995"/>
    <n v="0"/>
    <n v="0"/>
    <n v="3499995"/>
    <n v="3499995"/>
    <n v="0"/>
    <n v="3499995"/>
    <s v="23FRF31584"/>
    <s v=" This requests a one-time appropriation to obtain necessary national expertise and guidance in developing a state managed care directed payment program for certain hospitals to support of state and federal mandated provider fees. _x000a__x000a_"/>
    <s v=" This effort would support the planning for internal operations and oversight of the new directed payments, and any related activities for establishing new provider fees associated with these payment arrangements to ensure appropriate compliance in accordance with applicable state and federal laws."/>
    <s v="Establishment of this state managed care directed payment program will result in revenue to the state. "/>
    <s v="CETS 22237 Hospital Provider Tax Assessment for SFY2024 Q1-Q4 completed._x000a_Affected 42 Private Hospitals, resulting in $190,093,624.03 in revenue._x000a_Hospital Provider Tax Assessment for SFY2025 Q1-Q2 completed._x000a_Affected 43 Private Hospitals, resulting in $198,585,096.00 in revenue._x000a__x000a_CETS 22237 Amendment 7 is in progress to include Ambulance and Nursing Facilities assessments through SFY 2025 expected to be on May BOE. A new service agreement with Mercer (CETS# TBD) to segregate Provider Tax Assessment from current larger Actuarial Contract. Remaining ARPA funds to be utilized in SFY 2026."/>
    <x v="0"/>
    <n v="3499995"/>
    <m/>
    <n v="3499995"/>
    <n v="2192780"/>
    <n v="119060.48"/>
    <n v="2311840.48"/>
    <n v="0.6605267950382786"/>
    <m/>
    <n v="3499995"/>
    <n v="0"/>
    <n v="0"/>
    <s v=" One Time Funding"/>
    <s v="N/A"/>
    <s v="N/A"/>
    <s v="No"/>
    <x v="0"/>
    <x v="1"/>
  </r>
  <r>
    <x v="2"/>
    <s v="23DHPIS01"/>
    <s v="DHCFP - Dental Health Program in Schools"/>
    <n v="3158"/>
    <d v="2022-10-20T00:00:00"/>
    <d v="2026-06-30T00:00:00"/>
    <n v="1349"/>
    <n v="0.69977761304670127"/>
    <n v="2736000"/>
    <n v="0"/>
    <m/>
    <n v="2736000"/>
    <n v="2736000"/>
    <n v="0"/>
    <n v="2736000"/>
    <s v="23FRF31585"/>
    <s v="Project extension request to 6/30/26 approved by GFO on 1/10/24._x000a_75,000 to 100,000 children would be served by providing funding to rebuild school-based dental sealant programs throughout the state."/>
    <s v="Provides for preventive dental care in children who otherwise have no access to these services. "/>
    <s v="Dental professioals perform services are provided while children are attending school and removes barriers to preventative services.  Sealants are the first line of defense against carious lesions in children."/>
    <s v="School Year 2023-2024 resulted in 9 subawards providing dental screenings and sealants for school-age children and youth residing in 11 Nevada counties serving 7,668 children/youth. _x000a_School Year 2024-2025 resulted in 7 subawards providing dental screenings and sealants for school age children and you residing in 10 Nevada counties and serving 5,207 children/youth._x000a_School Year 2025-2026 resulted in 5 subawards.The sealant program will use the remaining ARPA funds by SFY 2026."/>
    <x v="0"/>
    <n v="2658957.41"/>
    <m/>
    <n v="2658957.41"/>
    <n v="1815360.33"/>
    <n v="131209.18"/>
    <n v="1946569.51"/>
    <n v="0.71146546418128653"/>
    <m/>
    <n v="2736000"/>
    <n v="0"/>
    <n v="77042.589999999851"/>
    <s v=" One Time Funding"/>
    <s v="2,696 children"/>
    <s v="N/A"/>
    <s v="No"/>
    <x v="0"/>
    <x v="2"/>
  </r>
  <r>
    <x v="2"/>
    <s v="23SYUIM01"/>
    <s v="DHCFP - System Update and Improvement"/>
    <n v="3158"/>
    <d v="2022-10-20T00:00:00"/>
    <d v="2026-06-30T00:00:00"/>
    <n v="1349"/>
    <n v="0.69977761304670127"/>
    <n v="1383665"/>
    <n v="0"/>
    <m/>
    <n v="1383665"/>
    <n v="1383665"/>
    <n v="0"/>
    <n v="1383665"/>
    <s v="23FRF31586"/>
    <s v="DHCFP will request extension to 06/30/2025 to use remaining funds._x000a_This request funds a centralized credentialing and re-credentialing process that will allow providers to complete one enrollment for Fee for Service and all Managed Care Organization plans._x000a__x000a_Surveillance Utilization and Review (SUR) Data System  42 CFR 455.23 requires the state to suspend Medicaid payments to a provider after determining there is a credible allegation of fraud, unless the agency has good cause not to. 42 CFR 455.23(g)(3) requires states to submit an annual Medicaid Payment Suspension report to the Centers for Medicare and Medicaid Services (CMS). _x000a_ "/>
    <s v="These systems facilitate administrative simplification between programs.  A case management system would reduce the amount of manual input, and substantially reduce staff time required for frequent manual reconciliations.  "/>
    <s v="Although DHCFP currently has the ability to comply with the mandate to implement payment suspensions and report on  annually, it does not have a way to efficienty &amp; accurately process the  the required information in the SUR database. Curent process is cumbersome and prone to errors in its manual form. "/>
    <s v="Centralized Credentialing - contract started March 12,  2024_x000a_SUR Database - contract started April 9, 2024_x000a__x000a_This was extended to 06/30/2026 in order for DHCFP to use one-shot funding that expires 06/30/2025. $500K is budgeted for Centralized Credentialing and $883 is budgeted for SUR Database. DHCFP will use remaining funds for the development and maintenance and operation."/>
    <x v="0"/>
    <n v="1383665"/>
    <m/>
    <n v="1383665"/>
    <n v="774687.46"/>
    <n v="0"/>
    <n v="774687.46"/>
    <n v="0.55988079484557318"/>
    <m/>
    <n v="1383665"/>
    <n v="0"/>
    <n v="0"/>
    <s v=" One Time Funding"/>
    <s v="N/A"/>
    <s v="N/A"/>
    <s v="No"/>
    <x v="0"/>
    <x v="0"/>
  </r>
  <r>
    <x v="2"/>
    <s v="23IPTOC01"/>
    <s v="DHCFP - In-person Tribal outreach and consultation"/>
    <n v="3158"/>
    <d v="2022-10-20T00:00:00"/>
    <d v="2025-06-30T00:00:00"/>
    <n v="984"/>
    <n v="0.95934959349593496"/>
    <n v="46998"/>
    <n v="0"/>
    <m/>
    <n v="46998"/>
    <n v="46998"/>
    <n v="0"/>
    <n v="46998"/>
    <s v="23FRF31589"/>
    <s v=" In support collaboration and communication with Nevada’s Tribes, the DHHS Tribal Liaisons (1 to 2 Tribal Liaisons per Division under DHHS) are requesting travel budgets to ensure their ability to attend listening sessions and outreach events to the 28 tribal nations in the state of Nevada."/>
    <s v="Travel and other expenses associated with attending meetings to 28 tribal nations in the State of Nevada. All travel will be completed prior to 12/31/24 and all funding expended in support of this project."/>
    <s v="N/A"/>
    <s v="Travel projected to be completed by 12/31/2024._x000a_Approximately $878 will be spent on supplies to help visually appeal to the public during outreach events. Allocation Change Request for scope update and budget revision sent for signatures._x000a_The tribal outreach team will use remaining ARPA funds by SFY 2025 on outreach supplies."/>
    <x v="0"/>
    <n v="46101.32"/>
    <m/>
    <n v="46101.32"/>
    <n v="46101.320000000007"/>
    <n v="379.14"/>
    <n v="46480.460000000006"/>
    <n v="0.98898804204434243"/>
    <m/>
    <n v="46998"/>
    <n v="0"/>
    <n v="896.68000000000029"/>
    <s v=" One Time Funding"/>
    <s v="N/A"/>
    <s v="N/A"/>
    <s v="No"/>
    <x v="0"/>
    <x v="2"/>
  </r>
  <r>
    <x v="2"/>
    <s v="23CHWHS01"/>
    <s v="DHCFP - Children's Health and Wellness Health  Services Initiative"/>
    <n v="3158"/>
    <d v="2022-10-20T00:00:00"/>
    <d v="2023-06-30T00:00:00"/>
    <n v="253"/>
    <n v="1"/>
    <n v="731052"/>
    <n v="-731052"/>
    <m/>
    <n v="0"/>
    <n v="0"/>
    <n v="0"/>
    <n v="731052"/>
    <s v="23FR315803"/>
    <s v="De-obligation submitted to GFO 6/14/23. Closeout Letter from GFO sent 01/24/2024 with de-obligation amount of $731,052._x000a_Start Up Funding to Establish Children's Health &amp; Wellness Trust Fund_x000a_ _x000a_"/>
    <s v="The Division is seeking technical assistance to establish the fund and assistance in implementing the HSI project.  The fund will address children/youth involved in the Welfare system"/>
    <s v="Technical assistance is needed to establish a governance structure for the fund, to develop funding sources, and to establish evaluation methods and processes for projects approved by the fund."/>
    <s v="De-obligation submitted to GFO 6/14/23. "/>
    <x v="2"/>
    <n v="0"/>
    <m/>
    <n v="0"/>
    <n v="0"/>
    <n v="0"/>
    <n v="0"/>
    <m/>
    <n v="-731052"/>
    <n v="0"/>
    <n v="0"/>
    <n v="0"/>
    <s v=" One Time Funding"/>
    <s v="N/A"/>
    <s v="N/A"/>
    <s v="No"/>
    <x v="0"/>
    <x v="3"/>
  </r>
  <r>
    <x v="2"/>
    <s v="23IBCLC01"/>
    <s v="DHCFP - International Board Certified Lactation Consultants"/>
    <n v="3158"/>
    <d v="2022-10-20T00:00:00"/>
    <d v="2024-12-31T00:00:00"/>
    <n v="803"/>
    <n v="1"/>
    <n v="666000"/>
    <n v="-666000"/>
    <m/>
    <n v="0"/>
    <n v="0"/>
    <n v="0"/>
    <n v="666000"/>
    <s v="23FR315801"/>
    <s v="This project has been transferred to DPBH effective June 2023. Original Amount: $666,000. DPBH plans to submit a work program to the October 2023 IFC to establish authority (DHCFP will need to complete a companion work program at that time to deobligate authority). _x000a__x000a_"/>
    <s v="One-time funding to support incubation and  Baby-Friendly certified hospitals and birthing centers in Nevada to support the choice of  breastfeeding. Increase the number of lactation consultants through underwriting the cost of certification and associated charges."/>
    <s v="Total births 2020, 35,542 x 84% (16/19 hospitals and birthing center) = 29,855 infants_x000a_15 birthing hospitals and 1 Birthing Center_x000a_10 IBCLCs--.  International Board Certified Lactation Consultant (IBCLC) training and certification_x000a_Are identified in this request.   "/>
    <s v="This project has been transferred to DPBH effective June 2023. "/>
    <x v="2"/>
    <n v="0"/>
    <m/>
    <n v="0"/>
    <n v="0"/>
    <n v="0"/>
    <n v="0"/>
    <m/>
    <n v="-666000"/>
    <n v="0"/>
    <n v="0"/>
    <n v="0"/>
    <s v=" One Time Funding"/>
    <s v="N/A"/>
    <s v="N/A"/>
    <s v="No"/>
    <x v="0"/>
    <x v="2"/>
  </r>
  <r>
    <x v="2"/>
    <s v="23RSMN01"/>
    <s v="DHCFP - Roseman University - School of Medicine"/>
    <n v="3158"/>
    <d v="2022-12-15T00:00:00"/>
    <d v="2026-06-30T00:00:00"/>
    <n v="1293"/>
    <n v="0.6867749419953596"/>
    <n v="10000000"/>
    <n v="0"/>
    <m/>
    <n v="10000000"/>
    <n v="10000000"/>
    <n v="0"/>
    <n v="10000000"/>
    <s v="23FR315816"/>
    <s v="This project is a one-time investment by the state in the amount of $10,000,000 to allow Roseman University to launch its College of Medicine thus helping to meet the healthcare needs of Nevada citizens, particularly the most underserved."/>
    <s v="This funds a new college of medicine in southern Nevada."/>
    <s v=" The establishment of a new school of medicine will increase new healthcare workers to the state of Nevada workforce."/>
    <s v="List of Hires: 29 to support the establishment of the Roseman School of Medicine._x000a_The subaward will use remaining ARPA funds by SFY 2025."/>
    <x v="0"/>
    <n v="10000000"/>
    <m/>
    <n v="10000000"/>
    <n v="8112447.9100000011"/>
    <n v="0"/>
    <n v="8112447.9100000011"/>
    <n v="0.81124479100000013"/>
    <m/>
    <n v="10000000"/>
    <n v="0"/>
    <n v="0"/>
    <s v=" One Time Funding"/>
    <s v="N/A"/>
    <s v="N/A"/>
    <s v="No"/>
    <x v="2"/>
    <x v="0"/>
  </r>
  <r>
    <x v="2"/>
    <s v="23LTCAL01"/>
    <s v="Long Term Care Funding for Assisted Living and Nursing Facility Workforce"/>
    <s v="3158/3243"/>
    <d v="2022-10-20T00:00:00"/>
    <d v="2025-06-30T00:00:00"/>
    <n v="984"/>
    <n v="0.95934959349593496"/>
    <n v="15150000"/>
    <n v="-2823704.46"/>
    <m/>
    <n v="12326295.539999999"/>
    <n v="12326295.539999999"/>
    <n v="0"/>
    <n v="15150000"/>
    <s v="23FRF32431"/>
    <s v="To fund supplemental payments to support Nevada's assisted living and nursing facility workforce and a contracted Management Analyst 3"/>
    <s v="N/A"/>
    <s v="N/A"/>
    <s v="Management Analyst 3 Contractor hired 04/01/2024 through 06/30/2025._x000a_The MA3 contractor is expected to have at least $44,480.48 ARPA funds by the end of 06/30/2025. A total of $7,126.08 will be considered excess funding and be deobligated."/>
    <x v="0"/>
    <n v="12326295.539999999"/>
    <m/>
    <n v="12326295.539999999"/>
    <n v="12274688.979999997"/>
    <n v="0"/>
    <n v="12274688.979999997"/>
    <n v="0.8102104937293727"/>
    <n v="-2823704.46"/>
    <n v="12326295.539999999"/>
    <n v="0"/>
    <n v="0"/>
    <s v=" One Time Funding"/>
    <s v="210 providers have received the additional funding. "/>
    <s v="N/A"/>
    <s v="No"/>
    <x v="0"/>
    <x v="1"/>
  </r>
  <r>
    <x v="2"/>
    <s v="23RDPST01"/>
    <s v="Rare Disease Provide Study"/>
    <n v="3158"/>
    <d v="2022-12-16T00:00:00"/>
    <d v="2024-12-31T00:00:00"/>
    <n v="746"/>
    <n v="1"/>
    <n v="250000"/>
    <n v="-100000"/>
    <m/>
    <n v="150000"/>
    <n v="150000"/>
    <n v="0"/>
    <n v="250000"/>
    <s v="23FR315815"/>
    <s v="Project ended early; de-obligating remaining funds. Review of providers of rare diseases and childhood cancer and clinical centers that render services for children with rare conditions"/>
    <s v="N/A"/>
    <s v="N/A"/>
    <s v="Project ended early; de-obligating remaining funds."/>
    <x v="2"/>
    <n v="150000"/>
    <m/>
    <n v="150000"/>
    <n v="150000"/>
    <n v="0"/>
    <n v="150000"/>
    <n v="0.6"/>
    <n v="-100000"/>
    <n v="150000"/>
    <n v="0"/>
    <n v="0"/>
    <s v=" One Time Funding"/>
    <s v="N/A"/>
    <n v="250000"/>
    <s v="No"/>
    <x v="0"/>
    <x v="2"/>
  </r>
  <r>
    <x v="3"/>
    <s v="22LVMHC01"/>
    <s v="SNAMHS MASTER PLAN"/>
    <n v="3161"/>
    <d v="2022-02-10T00:00:00"/>
    <d v="2022-12-31T00:00:00"/>
    <n v="324"/>
    <n v="1"/>
    <n v="286977"/>
    <n v="-79110.5"/>
    <n v="0"/>
    <n v="207866.5"/>
    <n v="286977"/>
    <n v="-79110.5"/>
    <n v="286977"/>
    <s v="22FRF31611"/>
    <s v="Southern Nevada Adult Mental Health Services (SNAMHS) Master Plan"/>
    <s v="Creation of a master plan for the SNAMHS  campus."/>
    <s v="N/A"/>
    <s v="Completed - 12/31/2022 - Final de-obligation completed 4/28/2024"/>
    <x v="2"/>
    <n v="207866.5"/>
    <m/>
    <n v="207866.5"/>
    <n v="207866"/>
    <m/>
    <n v="207866"/>
    <n v="0.72432982434132354"/>
    <n v="-79110.5"/>
    <n v="207866.5"/>
    <n v="79110.5"/>
    <n v="0"/>
    <s v="Completed"/>
    <s v="N/A"/>
    <s v="N/A"/>
    <m/>
    <x v="2"/>
    <x v="0"/>
  </r>
  <r>
    <x v="3"/>
    <s v="22FRHSP01"/>
    <s v="STEIN FORENSIC HOSP. - RENOVATIONS_x000a_SPWD Project#: 22-A001"/>
    <n v="3161"/>
    <d v="2022-04-08T00:00:00"/>
    <d v="2023-09-30T00:00:00"/>
    <n v="540"/>
    <n v="1"/>
    <n v="4972547"/>
    <n v="-4748855.51"/>
    <n v="0"/>
    <n v="223691.49000000022"/>
    <n v="4972547"/>
    <n v="-4748855.51"/>
    <n v="4972547"/>
    <s v="22FRF31612/_x000a_23FRF31613"/>
    <s v="Renovations to the hospital to include construction changes and equipment installation."/>
    <s v="This project updates and replaces the 2 elevators and anti-ligature upgrades in the Allied Therapy room and for the expansion of the existing control room in Stein Hospital"/>
    <s v="N/A"/>
    <s v="Remaining Balance of Project Deobligated 2/2024"/>
    <x v="2"/>
    <n v="223691.49"/>
    <m/>
    <n v="223691.49"/>
    <n v="223691.49"/>
    <m/>
    <n v="223691.49"/>
    <n v="4.4985294256645533E-2"/>
    <n v="-4748855.51"/>
    <n v="223691.49000000022"/>
    <n v="4748855.51"/>
    <n v="2.3283064365386963E-10"/>
    <s v="Completed"/>
    <s v="N/A"/>
    <s v="N/A"/>
    <s v="Yes"/>
    <x v="2"/>
    <x v="0"/>
  </r>
  <r>
    <x v="3"/>
    <s v="23ANTLG01"/>
    <s v="Anti Ligature Furniture"/>
    <n v="3161"/>
    <d v="2022-10-20T00:00:00"/>
    <d v="2023-06-30T00:00:00"/>
    <n v="253"/>
    <n v="1"/>
    <n v="475000"/>
    <n v="-69.75"/>
    <n v="0"/>
    <n v="474930.25"/>
    <n v="475000"/>
    <n v="-69.75"/>
    <n v="475000"/>
    <s v="23FRF31612"/>
    <s v="Southern Nevada Adult Mental Health Services - Anti-Ligature Furnishings"/>
    <s v="To upgrade the furniture in the Stein Hospital and Rawson Neal Hospital to anti-ligature furniture."/>
    <s v="N/A"/>
    <s v="Completed and closed out June 2024"/>
    <x v="2"/>
    <n v="474930.25"/>
    <m/>
    <n v="474930.25"/>
    <n v="474930.25"/>
    <m/>
    <n v="474930.25"/>
    <n v="0.99985315789473683"/>
    <n v="-69.75"/>
    <n v="474930.25"/>
    <n v="69.75"/>
    <n v="0"/>
    <s v="Completed"/>
    <s v="N/A"/>
    <s v="N/A"/>
    <m/>
    <x v="2"/>
    <x v="4"/>
  </r>
  <r>
    <x v="3"/>
    <s v="24FRB3A01"/>
    <s v="Building 3A Forensic Renovation"/>
    <n v="3161"/>
    <d v="2023-12-13T00:00:00"/>
    <d v="2025-12-31T00:00:00"/>
    <n v="749"/>
    <n v="0.7009345794392523"/>
    <n v="22629572"/>
    <n v="-22629572"/>
    <m/>
    <n v="0"/>
    <n v="9289126"/>
    <n v="-9289126"/>
    <n v="9289126"/>
    <s v="24FRF31615/_x000a_24FR31617/_x000a_25FRF31615"/>
    <s v="To complete the renovation of Building 3A to permit increased bed capacity by 21 beds"/>
    <s v="This project provides funding to update the existing building for forensic program use."/>
    <s v="N/A"/>
    <s v="Project is design phase and SPWD presented a revised budget, requesting an additional $3,610,959 for June IFC Meeting"/>
    <x v="1"/>
    <n v="9289126"/>
    <m/>
    <n v="9289126"/>
    <n v="3389988.7000000007"/>
    <n v="3108138.87"/>
    <n v="6498127.5700000003"/>
    <n v="0.69954133144496056"/>
    <m/>
    <n v="9289126"/>
    <n v="0"/>
    <n v="0"/>
    <s v="Budget Request"/>
    <n v="21"/>
    <s v="N/A"/>
    <s v="Yes"/>
    <x v="2"/>
    <x v="0"/>
  </r>
  <r>
    <x v="3"/>
    <s v="23FBCLV01"/>
    <s v="Forensic Bed Capacity LV"/>
    <n v="3161"/>
    <d v="2022-10-20T00:00:00"/>
    <d v="2026-12-31T00:00:00"/>
    <n v="1533"/>
    <n v="1"/>
    <n v="55378801"/>
    <n v="-54378801"/>
    <n v="0"/>
    <n v="1000000"/>
    <n v="55378801"/>
    <n v="-54378801"/>
    <n v="1793116"/>
    <s v="23FRF31615"/>
    <s v="Fund expansion of Forensic bed capacity by 45 beds at the City of Las Vegas' detention center, to include construction needs and staffing"/>
    <s v="The City of Las Vegas has two empty units at their detention center, the building  and area in a secured locked environment for  client population that are court order to DPBH custody of restoration to competency."/>
    <s v="N/A"/>
    <s v="Project terminated on September 2023."/>
    <x v="2"/>
    <n v="490330.41"/>
    <m/>
    <n v="490330.41"/>
    <n v="490330.41"/>
    <m/>
    <n v="490330.41"/>
    <n v="0.27345158372352929"/>
    <n v="-54378801"/>
    <n v="490330.41"/>
    <n v="54888470.590000004"/>
    <n v="0"/>
    <s v="Completed"/>
    <m/>
    <m/>
    <s v="Yes"/>
    <x v="2"/>
    <x v="4"/>
  </r>
  <r>
    <x v="3"/>
    <s v="23RCCLV01"/>
    <s v="RECUPERATIVE CARE CENTER EXPANSION"/>
    <n v="3161"/>
    <d v="2022-10-20T00:00:00"/>
    <d v="2026-09-30T00:00:00"/>
    <n v="1441"/>
    <n v="0.65510062456627338"/>
    <n v="10000000"/>
    <n v="0"/>
    <m/>
    <n v="10000000"/>
    <n v="10000000"/>
    <n v="0"/>
    <n v="10000000"/>
    <s v="23FRF31616"/>
    <s v="A collaborative effort with City of Las Vegas to fund a Recuperative Care Center Expansion for homeless population to recover from medical injury or illness following a discharge from a Hospital."/>
    <s v="An 50 bed facility Expansion to provide medical respite within City of Las Vegas limits, assisting  with wound care, cardiac issues, oxygen, cancer, hospice services, pre and prost-surgical procedures, diabetes and more."/>
    <s v="The Recuperative Care Center launch in August 2020 filled a major gap in addressing the health care of people experiencing  homelessness exacerbated by the COVID-19 Pandemic."/>
    <s v="Budget Modification request submitted and approved by GFO by City of Las Vegas(CoLV) in March 2024.  New timeline submitted by CoLV. The City anticipates a start date of July 2025."/>
    <x v="1"/>
    <n v="10000000"/>
    <m/>
    <n v="10000000"/>
    <n v="0"/>
    <n v="493421.45"/>
    <n v="493421.45"/>
    <n v="4.9342145000000004E-2"/>
    <n v="0"/>
    <n v="10000000"/>
    <n v="0"/>
    <n v="0"/>
    <s v="One Time Funding"/>
    <m/>
    <s v="N/A"/>
    <s v="Yes"/>
    <x v="2"/>
    <x v="0"/>
  </r>
  <r>
    <x v="3"/>
    <s v="24SNFLT01"/>
    <s v="Skilled Nursing Facility"/>
    <n v="3161"/>
    <d v="2024-01-24T00:00:00"/>
    <d v="2026-12-31T00:00:00"/>
    <n v="1072"/>
    <n v="0.45055970149253732"/>
    <n v="5716150"/>
    <n v="-2070848"/>
    <n v="0"/>
    <n v="3645302"/>
    <n v="5716150"/>
    <n v="-2070848"/>
    <n v="5716150"/>
    <s v="24FRF31614"/>
    <s v="Fund placement of 11 long term clients into skilled nursing facilities. The forensic clients would be conditionally released and remain committed to the division."/>
    <s v="Select clients that are assessed as appropriate for placement at a skilled nursing facility would be eligible for conditional release."/>
    <s v="N/A"/>
    <s v="Placements have begun in the north. Vendor has been set up for placements in the south"/>
    <x v="1"/>
    <n v="3645302"/>
    <m/>
    <n v="3645302"/>
    <n v="523165.13999999996"/>
    <n v="45170.54"/>
    <n v="568335.67999999993"/>
    <n v="9.9426306167612805E-2"/>
    <n v="-2070848"/>
    <n v="3645302"/>
    <n v="2070848"/>
    <n v="0"/>
    <s v="Budget Request"/>
    <n v="11"/>
    <s v="N/A"/>
    <s v="No"/>
    <x v="0"/>
    <x v="4"/>
  </r>
  <r>
    <x v="3"/>
    <s v="24JBMHP01"/>
    <s v="Jail Based Mental Health Programs (SNAMHS/NNAMHS)"/>
    <n v="3161"/>
    <d v="2023-12-13T00:00:00"/>
    <d v="2025-12-31T00:00:00"/>
    <n v="749"/>
    <n v="0.7009345794392523"/>
    <n v="14905281"/>
    <n v="0"/>
    <n v="0"/>
    <n v="14905281"/>
    <n v="14905281"/>
    <n v="0"/>
    <n v="14905281"/>
    <s v="24FRF31611"/>
    <s v="Establish a jail based mental health program for 30 individuals in the Washoe County jail. Establish a jail based mental health program  for 60 individuals in the Clark County detention center. "/>
    <s v="This  funding will allow individuals awaiting inpatient restoration services to receive mental health services in the respective jail that will begin the treatment process."/>
    <s v="N/A"/>
    <s v="Sub-awards have been executed and awarded to CCDC and Washoe County Jail"/>
    <x v="1"/>
    <n v="14905281"/>
    <m/>
    <n v="14905281"/>
    <n v="4429927.6999999993"/>
    <n v="844016.73"/>
    <n v="5273944.43"/>
    <n v="0.35383059400221972"/>
    <n v="0"/>
    <n v="14905281"/>
    <n v="0"/>
    <n v="0"/>
    <s v="Budget Request"/>
    <n v="90"/>
    <s v="N/A"/>
    <s v="No"/>
    <x v="0"/>
    <x v="4"/>
  </r>
  <r>
    <x v="3"/>
    <s v="23NVRES01"/>
    <s v="Nevada Resilience Project"/>
    <n v="3165"/>
    <d v="2022-07-01T00:00:00"/>
    <d v="2024-06-30T00:00:00"/>
    <n v="730"/>
    <n v="1"/>
    <n v="1956000"/>
    <n v="-1956000"/>
    <n v="0"/>
    <n v="0"/>
    <n v="1956000"/>
    <n v="-1956000"/>
    <n v="1956000"/>
    <s v="23FRF31651"/>
    <s v="Expands the Nevada Resilience Project"/>
    <s v="Puts Resilience Ambassadors in additional partner agencies."/>
    <s v="State of NV intends to use $1,899,293 to execute a sub-award with a trusted provider to expand NV Resilience Project to full capacity. Sub-award ensures provider-based supervision, expansion of services, increasing behavioral health workforce, and ensuring resilience ambassadors become certified community health workers/peer support specialists, if applicable. Resilience ambassadors will continue to provide individual/group counseling, psycho-education support, resource navigation, suicide prevention, crisis assessment, and recovery supports based on the behavioral impacts of CV-19."/>
    <s v="Project has ended. De-obligated back to GFO Feb 2024."/>
    <x v="2"/>
    <n v="0"/>
    <m/>
    <n v="0"/>
    <n v="0"/>
    <m/>
    <n v="0"/>
    <n v="0"/>
    <n v="-1956000"/>
    <n v="0"/>
    <n v="1956000"/>
    <n v="0"/>
    <s v="One Time Funding"/>
    <s v="Resilience Ambassadors provided services to 1,480 individuals in the last quarter under the Health Disparity (CAT 13) grant, averaging 493.3 individuals per month. Additionally, another 2,074 individuals were served under Prevention (CAT 27) dollars, averaging 691.3 individuals per month."/>
    <s v="$1,956,000 was allocated for expansion of Nevada Resilience Project to continue providing evidence-based interventions, such as Psychological First Aid, Skills for Psychological Recovery, and sought to certify all staff as Community Health Workers and Peer Support, if qualified. All services are strictly focused on prevention and early intervention with regard to mental and behavioral health stress post-crisis/disaster."/>
    <s v="No"/>
    <x v="0"/>
    <x v="4"/>
  </r>
  <r>
    <x v="3"/>
    <s v="23BH98801"/>
    <s v="988 Crisis Response System"/>
    <n v="3165"/>
    <d v="2022-07-01T00:00:00"/>
    <d v="2025-06-30T00:00:00"/>
    <n v="1095"/>
    <n v="0.9634703196347032"/>
    <n v="3500000"/>
    <n v="0"/>
    <n v="0"/>
    <n v="3500000"/>
    <n v="3500000"/>
    <n v="0"/>
    <n v="3500000"/>
    <s v="23FRF31652"/>
    <s v="Establishing a Crisis Response System for Nevada"/>
    <s v="Fully funding both the 988 Crisis Call Center and Care Traffic Control Hub simultaneously, along with the other components of a CRS, will create a fully functional system that can deploy resources to Nevadans in crisis, mitigating serious consequences that result in negative, sometimes fatal outcomes. "/>
    <s v="Current use of this category has been for the budget line item 988 project manager. State of Nevada recently executed a second year extension for the project manager. Roughly left is 3.1 million that is allocated for the launch of the 988 request for proposal (RFP) which will be released late 2023, and paid Spring 2024."/>
    <s v="1.30.25 - NN working on the change in allocation for Indirect, this will be reviewed by BBHWP leadership and submitted to GFO. This funding is currently completely allocated to Carelon contract and indirect, and will be expended once a RFR is received from Carelon. 02.28.25 - NN we are working on getting the re-allocation change request completed, our contracted Carelon submitted their first invoice, this is utilizing a majority of this funding and the allocation change with show the remaining balance going towards indirect. We anticipate this being expended by June 2025.  4/3/2025-NN- Carelon contract has two submitted invoices, one has been paid and the other is with Division Fiscal pending DAWN payment. 93.66% expended – remaining balance of $221,841.44 – projected indirect obligation.          Contract has been executed and is expending. The remaining balance on this sub-unit is for indirect. "/>
    <x v="1"/>
    <n v="3500000"/>
    <m/>
    <n v="3500000"/>
    <n v="102073.84"/>
    <n v="1257837.6599999999"/>
    <n v="1359911.5"/>
    <n v="0.38854614285714284"/>
    <n v="0"/>
    <n v="3500000"/>
    <n v="0"/>
    <n v="0"/>
    <s v="One Time Funding"/>
    <s v="Data per month:_x000a_2600 calls _x000a_480 chats_x000a_520 texts_x000a_State projects the above data for use of the 988 call center, which the funds will be used to launch._x000a_"/>
    <s v="3.1 million allocated for the release of RFP and launch of 988 will be Nationally certified suicide prevention lifeline, Vibrant accreditation standards met for crisis call center and SAMHSA National guidelines for behavioral health crisis care Best practices. "/>
    <s v="No"/>
    <x v="0"/>
    <x v="4"/>
  </r>
  <r>
    <x v="3"/>
    <s v="23CSSBC01"/>
    <s v="Crisis Stabilization Centers"/>
    <n v="3165"/>
    <d v="2022-07-01T00:00:00"/>
    <d v="2025-06-30T00:00:00"/>
    <n v="1095"/>
    <n v="0.9634703196347032"/>
    <n v="20000000"/>
    <n v="0"/>
    <n v="-5000000"/>
    <n v="15000000"/>
    <n v="20000000"/>
    <n v="-5000000"/>
    <n v="20000000"/>
    <s v="23FRF31653"/>
    <s v="Crisis Stabilization Centers: To provide funding for Infrastructure, tenant improvement, and operational costs to establish crisis stabilization centers for children, youth, and families."/>
    <s v="Execute contracts with hospitals to provide funding for infrastructure, tenant improvement, and operational costs o establish crisis stabilization centers for children, youth and families"/>
    <s v="State of Nevada has finalized a subaward for five million to establish and build 1 Crisis Stabilization center. State is preparing to post a Request for application for new builds and or renovations of current hospital or medical centers to stand up additional Crisis Stabilization centers. Subawards in place with Renown. Interlocal agreements anticipated with Clark County for an amount of $10M. $5M can be deobligated."/>
    <s v="1.30.2025 - NN -  This is anticipated to be expended with a remaining balance of zero $ as the amendment for Clark County is pending final admin signature, and an additional amendment will be sent through for one of the awards. 02.28.25 - NN - we are working on extension request for this funding as one of our CSC is experiencing challenges with their construction/steel shortage, our other CSC that is funded under this award is expending and should expend their entire award by June 2025.  4/3/2025-NN - Renown and UMC are both obligated and spending. Renown is 80.46% expended on SG26293 and 64.95% expended on SG26165. UMC is 88.71% expended on SG26900. Both providers express that their awards will be completely expended by June 30,2025, All providers are projecting to fully expend.                  Construction is underway, projected to be completed end of May, early June for opening in June 2025. There was a steel shortage, and caused a delay in getting construction started. "/>
    <x v="0"/>
    <n v="15000000"/>
    <m/>
    <n v="15000000"/>
    <n v="12387945.35"/>
    <n v="153788.01"/>
    <n v="12541733.359999999"/>
    <n v="0.62708666800000001"/>
    <n v="-5000000"/>
    <n v="15000000"/>
    <n v="5000000"/>
    <n v="0"/>
    <s v="One Time Funding"/>
    <n v="69"/>
    <n v="0"/>
    <s v="Yes"/>
    <x v="0"/>
    <x v="4"/>
  </r>
  <r>
    <x v="3"/>
    <s v="23EMGCS01"/>
    <s v="Emergency Funding for Crisis Care"/>
    <n v="3165"/>
    <d v="2022-07-01T00:00:00"/>
    <d v="2025-06-30T00:00:00"/>
    <n v="1095"/>
    <n v="0.9634703196347032"/>
    <n v="10000000"/>
    <n v="-5000000"/>
    <n v="-2896697"/>
    <n v="2103303"/>
    <n v="5000000"/>
    <n v="-2896697"/>
    <n v="10000000"/>
    <s v="23FRF31654"/>
    <s v="To provide emergency funding to address the surge in behavioral health needs as it relates to the pandemic for behavioral health crisis triage, residential, and inpatient services "/>
    <s v="Expansion services to include residential treatment services to ensure medically necessary treatment can be provided to those with acute needs"/>
    <s v="These funds are allocated to support and provide funding for un-insured and under insured Nevadans suffering from a mental health crisis. Currently $720,488.00 has been spent and State of Nevada is having negotiations for additional subawards to be created with our hospitals to utilize this funding. Will request extension for these funds."/>
    <s v=" 1.30.25-NN - We anticipate awarding current awards with the remaining balance and leaving nothing remaining as the indirect on these contracts of 7.1% on the contract will use all remaining balance. 02.28.25 - NN this award is anticipated to be fully expended by June 2025, we are amending a current contract with the additional remaining balance. 4/3/25-NN - Reno Behavioral Health – C18157 is 100% expended, Desert Parkway is 41% expended and Seven Hills is only 11% expended. There is an amendment for the remaining balance $11,840.41 to go to SevenHills and all providers antipate expending fully.                                                                                                                                              There are three contracts for Direct Client Services on this sub-unit funding. All are exectued, one contract is pending amendment that is delayed due to MSA threshold increase pending BOE submission/approval being needed for the provider to receive the remaining balance for this funding. "/>
    <x v="1"/>
    <n v="2103303"/>
    <m/>
    <n v="2103303"/>
    <n v="1724480.74"/>
    <n v="0"/>
    <n v="1724480.74"/>
    <n v="0.17244807400000001"/>
    <n v="-7896697"/>
    <n v="2103303"/>
    <n v="2896697"/>
    <n v="0"/>
    <s v="One Time Funding"/>
    <s v="N/A"/>
    <n v="0"/>
    <s v="No"/>
    <x v="0"/>
    <x v="4"/>
  </r>
  <r>
    <x v="3"/>
    <s v="23MYAVT01"/>
    <s v="my AVATAR"/>
    <n v="3168"/>
    <d v="2022-10-20T00:00:00"/>
    <d v="2024-06-30T00:00:00"/>
    <n v="619"/>
    <n v="1"/>
    <n v="862544"/>
    <n v="-139229"/>
    <n v="0"/>
    <n v="723315"/>
    <n v="862544"/>
    <n v="-139229"/>
    <n v="814690.75"/>
    <s v="23FRF31681"/>
    <s v="Upgrade AVATAR to NX - my Avatar is an Netsmart ONC-certified electronic health record (eHR) solution specifically designed for behavioral healthcare and addiction treatment in community-based, residential, and inpatient programs. The Division's application is currently operating on an aging Netsmart platform which is soon to become obsolete. The aging version needs to be upgraded to the Netsmart NX version or needs to be replaced prior to 10/14/2025 due to dependencies on Internet Explorer 11. IE11 has a dependency on Windows 10 and the security patches and updates will no longer be available after that date.  The existing platform is also Java 32 bit dependent.  This dependency introduces high maintenance for Field and Technical Services and the my Avatar help desk as it results in tickets being generated due to Java dependencies and the wrong version of Java running on end user pcs. In addition, the vendor has moved on to enhancing and supporting upgraded versions of the existing application which introduces limitations on current functionality available for upgrades and enhancements as technology continues to change."/>
    <m/>
    <m/>
    <s v="NX upgrade is almost completed; EMAR portion to be completed by June."/>
    <x v="2"/>
    <n v="675461.75"/>
    <m/>
    <n v="675461.75"/>
    <n v="675461.75"/>
    <m/>
    <n v="675461.75"/>
    <n v="0.829102024295722"/>
    <n v="-139229"/>
    <n v="675461.75"/>
    <n v="187082.25"/>
    <n v="0"/>
    <s v="The project is to be completed June 30, 2024; no additional funding will be required.  WP is being processed to de-obligate funds."/>
    <m/>
    <m/>
    <s v="No"/>
    <x v="0"/>
    <x v="4"/>
  </r>
  <r>
    <x v="3"/>
    <s v="22FSCPT01"/>
    <s v="CRG - Family Support Center"/>
    <n v="3170"/>
    <d v="2022-02-09T00:00:00"/>
    <d v="2023-06-30T00:00:00"/>
    <n v="506"/>
    <n v="1"/>
    <n v="153764"/>
    <n v="-153764"/>
    <n v="0"/>
    <n v="0"/>
    <n v="153764"/>
    <n v="-153764"/>
    <n v="153764"/>
    <s v="22FRF31701"/>
    <s v="To increase services and reduce wait times  for  mental health, substance use and abuse, trauma, and family strengthening services for individuals who have feelings of loneliness, anxiety, depression, or drug use due to the COVID-19 pandemic."/>
    <s v="The objective of this project is to increase access to mental health, substance use and abuse, trauma, and family strengthening services through the addition of certified staff. "/>
    <s v="Additional individuals and families will be able to get services sooner and reduce the wait times and wait lists for these services. "/>
    <s v="Project was never initiated. De-obligated back to GFO 2/2024."/>
    <x v="2"/>
    <n v="0"/>
    <m/>
    <n v="0"/>
    <n v="0"/>
    <m/>
    <n v="0"/>
    <n v="0"/>
    <n v="-153764"/>
    <n v="0"/>
    <n v="153764"/>
    <n v="0"/>
    <s v="Completed"/>
    <s v="N/A"/>
    <n v="153764"/>
    <s v="No"/>
    <x v="1"/>
    <x v="4"/>
  </r>
  <r>
    <x v="3"/>
    <s v="22MXYUP01"/>
    <s v="CRG - Moxy Up"/>
    <n v="3170"/>
    <d v="2022-04-04T00:00:00"/>
    <d v="2023-12-31T00:00:00"/>
    <n v="636"/>
    <n v="1"/>
    <n v="169565"/>
    <n v="0"/>
    <n v="-100162.2"/>
    <n v="69402.8"/>
    <n v="169565"/>
    <n v="-100162.2"/>
    <n v="169565"/>
    <s v="22FRF31702"/>
    <s v="&quot;Moxy Up&quot; a non-profit organization in Douglas County that is currently run by_x000a_volunteers, the ARPA COVID relief funding will provide funds for paid staff, which are now needed to ensure stability in_x000a_providing an increased need for education assistance and youth crisis services due to the COVID 19 pandemic, which_x000a_has changed the learning environment for youth by causing isolation during times of exposure"/>
    <s v="Ensure stability in providing an increased need for education assistance and youth crisis services due to the COVID 19 pandemic"/>
    <s v="Youth initiative to those who have no after school resources when dealing with urgent/crisis needs within their family, school setting or out in the community."/>
    <s v="Project has ended. De-obligated back to GFO 6/2024."/>
    <x v="2"/>
    <n v="69402.8"/>
    <m/>
    <n v="69402.8"/>
    <n v="69402.8"/>
    <m/>
    <n v="69402.8"/>
    <n v="0.40929908884498573"/>
    <n v="-100162.2"/>
    <n v="69402.8"/>
    <n v="100162.2"/>
    <n v="0"/>
    <s v="Completed"/>
    <s v="N/A"/>
    <n v="169565"/>
    <s v="No"/>
    <x v="1"/>
    <x v="4"/>
  </r>
  <r>
    <x v="3"/>
    <s v="23MHINP01"/>
    <s v="Mental Health Integration"/>
    <n v="3170"/>
    <d v="2022-10-20T00:00:00"/>
    <d v="2025-03-31T00:00:00"/>
    <n v="893"/>
    <n v="1"/>
    <n v="1956011"/>
    <n v="0"/>
    <n v="0"/>
    <n v="1956011"/>
    <n v="1956011"/>
    <n v="0"/>
    <n v="1956011"/>
    <s v="23FRF31703"/>
    <s v="Sub-Grants to support Assertive Community Treatment (ACT) and Forensic Assertive Community Treatment (FACT) programs statewide."/>
    <s v="Provides Assertive Community Treatment programs to communities in Washoe and Clark Counties to divert certain populations from the criminal justice system."/>
    <s v="COVID-19 exacerbated mental health concerns in the community. These funds work to address that concern."/>
    <s v="Project expected to spend fully by December 2024. Ongoing with three sub awardees.  Subgrant #s: 26142 Washoe County Human Services Agency, 26143 Washoe County Sheriff's Office (currently with Grants Unit for processing), 26874 Legacy Counseling and Workforce Connection."/>
    <x v="2"/>
    <n v="1956011"/>
    <m/>
    <n v="1956011"/>
    <n v="1635925.42"/>
    <m/>
    <n v="1635925.42"/>
    <n v="0.83635798571684916"/>
    <m/>
    <n v="1956011"/>
    <n v="0"/>
    <n v="0"/>
    <s v="One Time Funding"/>
    <m/>
    <m/>
    <s v="No"/>
    <x v="0"/>
    <x v="4"/>
  </r>
  <r>
    <x v="3"/>
    <s v="23NWSPE01"/>
    <s v="Newborn Screen Panel Expansion"/>
    <n v="3170"/>
    <d v="2022-10-20T00:00:00"/>
    <d v="2026-06-30T00:00:00"/>
    <n v="1349"/>
    <n v="1"/>
    <n v="1084810"/>
    <n v="0"/>
    <n v="-1084810"/>
    <n v="0"/>
    <n v="1084810"/>
    <n v="-1084810"/>
    <n v="1084810"/>
    <s v="23FRF31704"/>
    <s v="To purchase equipment to run opioid exposure panel as part of the newborn screening panel at the Nevada State Public Health Lab."/>
    <s v="Purchase new lab equipment to run opioid exposure panel."/>
    <s v="These funds are allocated to fund lab equipment to check for opioid exposure at birth."/>
    <s v="Project was never initiated. De-obligated back to GFO 3/2024"/>
    <x v="2"/>
    <n v="0"/>
    <m/>
    <n v="0"/>
    <n v="0"/>
    <m/>
    <n v="0"/>
    <n v="0"/>
    <n v="-1084810"/>
    <n v="0"/>
    <n v="1084810"/>
    <n v="0"/>
    <s v="Completed"/>
    <m/>
    <m/>
    <s v="No"/>
    <x v="0"/>
    <x v="4"/>
  </r>
  <r>
    <x v="3"/>
    <s v="22CSAA01"/>
    <s v="COVID-19 Call Center"/>
    <n v="3213"/>
    <d v="2022-02-09T00:00:00"/>
    <d v="2022-06-30T00:00:00"/>
    <n v="141"/>
    <n v="1"/>
    <n v="3884280"/>
    <n v="0"/>
    <n v="0"/>
    <n v="3884280"/>
    <n v="3884280"/>
    <n v="0"/>
    <n v="3884280"/>
    <s v="22FR321301"/>
    <s v="Continue to provide vaccine scheduling support through inbound and outbound calls through the CSAA call center. "/>
    <s v="The Call Center can be reached 7 days per week from 7 AM to 8 PM."/>
    <s v="The Call Center ensures that all residents can navigate services for COVID. "/>
    <s v="Project Completed 6/2024"/>
    <x v="2"/>
    <n v="3884280"/>
    <m/>
    <n v="3884280"/>
    <n v="3884280"/>
    <m/>
    <n v="3884280"/>
    <n v="1"/>
    <n v="0"/>
    <n v="3884280"/>
    <n v="0"/>
    <n v="0"/>
    <s v="Completed"/>
    <s v="Between 1/2022-3/2022: 12,763 inbound vaccine calls, 1,053 testing/therapeutics calls, 971 inbound Spanish vaccine/testing calls, 1,178 inbound calls from homebound individuals, 3,295 chats answered, 65,267 outreach calls made, 1,216 NV WebIZ assists"/>
    <n v="3884280"/>
    <s v="No"/>
    <x v="0"/>
    <x v="2"/>
  </r>
  <r>
    <x v="3"/>
    <s v="22NRSAP01"/>
    <s v="Nursing Assistance Program"/>
    <n v="3216"/>
    <d v="2022-02-09T00:00:00"/>
    <d v="2025-08-31T00:00:00"/>
    <n v="1299"/>
    <n v="0.92147806004618937"/>
    <n v="20739792"/>
    <n v="5285296"/>
    <n v="-9390199"/>
    <n v="16634889"/>
    <n v="16634889"/>
    <n v="0"/>
    <n v="20739792"/>
    <s v="22FR321601"/>
    <s v="Facilitate and increase participation in the Nurse Apprenticeship Program (NAP)"/>
    <s v="Increase health care staffing in Critical Access Hospitals, Acute Care, and Skilled Nursing facilities by offering nursing students the opportunity to become employed to utilize skills they are certified to perform while still in nursing school."/>
    <s v="COVID-19 highlighted issues surrounding NV’s healthcare workforce shortage. Funding and promoting the NAP and assisting healthcare facilities with employing nursing students will increase sustainability of the nursing workforce throughout the state."/>
    <s v="The Nurse Apprentice Program (NAP), executed by Nevada Rural Hospital Partners (NRHP), continues to submit monthly requests for reimbursement for the payment of salaries, travel expenses, and retention bonuses to nurse apprentices across the state. The program has maintained compliance with all ARPA requirements for use of funds. The program has been awarded additional funds at the July 2024 IFC. Subaward amendment has been submitted and program deadline has been extended to June 30, 2025. Subaward amendment was finalized and executed to reflect additional funds and extension to June 30, 2025.                                                                                                  No state fte or contractors on this award.  One single subgrant with full fund allocation. "/>
    <x v="0"/>
    <n v="16634889"/>
    <m/>
    <n v="16634889"/>
    <n v="14321502.389999999"/>
    <n v="483180.15"/>
    <n v="14804682.539999999"/>
    <n v="0.71382984650955028"/>
    <n v="-4104903"/>
    <n v="16634889"/>
    <n v="0"/>
    <n v="0"/>
    <s v="One Time Funding"/>
    <s v="N/A"/>
    <n v="20739792"/>
    <s v="No"/>
    <x v="0"/>
    <x v="2"/>
  </r>
  <r>
    <x v="3"/>
    <s v="22MCOTC01"/>
    <s v="Monoclonal Antibody/Therapeutic Treatments"/>
    <n v="3218"/>
    <d v="2022-01-01T00:00:00"/>
    <d v="2023-06-30T00:00:00"/>
    <n v="545"/>
    <n v="1"/>
    <n v="19613518"/>
    <n v="-10"/>
    <n v="0"/>
    <n v="19613508"/>
    <n v="19613518"/>
    <n v="-10"/>
    <n v="19613528"/>
    <s v="22FR321801"/>
    <s v="Provide COVID therapeutics statewide, free of charge for those at risk of severe disease. This includes telehealth, monoclonal antibody treatments, and Evershed for pre-exposure. "/>
    <s v="Residents can call the 800# or visit NVHealthResponse to access the services. They will be pre-screened and if they qualify can seek services either at a fixed site or telehealth."/>
    <s v="These treatments have been shown to reduce the risk of severe disease and death by as much as 90%. "/>
    <s v="Project Completed 2/2024"/>
    <x v="2"/>
    <n v="19613518"/>
    <m/>
    <n v="19613518"/>
    <n v="19613518"/>
    <m/>
    <n v="19613518"/>
    <n v="0.99999949014782041"/>
    <n v="-10"/>
    <n v="19613518"/>
    <n v="0"/>
    <n v="0"/>
    <s v="Completed"/>
    <s v="N/A"/>
    <n v="19613528"/>
    <s v="No"/>
    <x v="0"/>
    <x v="2"/>
  </r>
  <r>
    <x v="3"/>
    <s v="22CVTST01"/>
    <s v="COVID-19 Rapid Test Kits"/>
    <n v="3218"/>
    <d v="2022-01-01T00:00:00"/>
    <d v="2023-06-30T00:00:00"/>
    <n v="545"/>
    <n v="1"/>
    <n v="5000000"/>
    <n v="-164"/>
    <n v="0"/>
    <n v="4999836"/>
    <n v="5000000"/>
    <n v="-164"/>
    <n v="5000000"/>
    <s v="22FR321802"/>
    <s v="Purchase at-home rapid antigen testing kits to be distributed throughout Nevada by community partners."/>
    <s v="At-home kits are available at locations statewide. Residents can call the 800# or visit NVHealthResponse to identify the locations of the kits in their communities.  "/>
    <s v="Testing for COVID is a key part of the public health response to the pandemic. Ensuring that residents have free and easy to use testing allows them to screen and isolate if positive. "/>
    <s v="Project Completed 6/2023"/>
    <x v="2"/>
    <n v="4999836"/>
    <m/>
    <n v="4999836"/>
    <n v="4999836"/>
    <m/>
    <n v="4999836"/>
    <n v="0.99996719999999994"/>
    <n v="-164"/>
    <n v="4999836"/>
    <n v="164"/>
    <n v="0"/>
    <s v="Completed"/>
    <s v="588,000 tests"/>
    <n v="5000000"/>
    <s v="No"/>
    <x v="0"/>
    <x v="2"/>
  </r>
  <r>
    <x v="3"/>
    <s v="22CVTST02"/>
    <s v="COVID-19 Test Kits/CSAA Call Center/ NICUSA Contract"/>
    <n v="3218"/>
    <d v="2022-01-01T00:00:00"/>
    <d v="2022-12-31T00:00:00"/>
    <n v="364"/>
    <n v="1"/>
    <n v="17559408"/>
    <n v="-8299851.7300000004"/>
    <n v="0"/>
    <n v="9259556.2699999996"/>
    <n v="17559408"/>
    <n v="-8299851.7300000004"/>
    <n v="17559408"/>
    <s v="22FR321803"/>
    <s v="Purchase at-home rapid antigen testing kits to be distributed throughout Nevada by community partners. Extend the testing site at the LCB building through Spring. Develop testing and therapeutic service support through the CSAA call center. "/>
    <s v="At-home kits are available at locations statewide. Residents can call the 800# or visit NVHealthResponse to identify the locations of the kits in their communities. The LCB testing site has been offered to any residents, free of charge. This service will run through approximately May. The Call Center can be reached 7 days per week from 7 AM to 8 PM. "/>
    <s v="Testing for COVID is a key part of the public health response to the pandemic. Ensuring that residents have free and easy to use testing allows them to screen and isolate if positive. Having a call center helps keep the public informed."/>
    <s v="Project Ended 5/2024"/>
    <x v="2"/>
    <n v="9259556.2699999996"/>
    <m/>
    <n v="9259556.2699999996"/>
    <n v="9259556.2699999996"/>
    <m/>
    <n v="9259556.2699999996"/>
    <n v="0.52732736035292305"/>
    <n v="-8299851.7300000004"/>
    <n v="9259556.2699999996"/>
    <n v="8299851.7300000004"/>
    <n v="0"/>
    <s v="Completed"/>
    <s v="N/A"/>
    <n v="17559408"/>
    <s v="No"/>
    <x v="0"/>
    <x v="2"/>
  </r>
  <r>
    <x v="3"/>
    <s v="23MNKPX01"/>
    <s v="MEN'S HEALTH INFORMATION CAMPAIGN / Monkeypox"/>
    <n v="3219"/>
    <d v="2022-10-20T00:00:00"/>
    <d v="2023-12-31T00:00:00"/>
    <n v="437"/>
    <n v="1"/>
    <n v="345000"/>
    <n v="-716.02"/>
    <n v="0"/>
    <n v="344283.98"/>
    <n v="345000"/>
    <n v="-716.02000000001863"/>
    <n v="345000"/>
    <s v="23FRF32191"/>
    <s v="To fund Community Health Workers and an awareness campaign regarding the transmission of monkeypox and other health issues for gay and bisexual men. "/>
    <s v="N/A"/>
    <s v="N/A"/>
    <s v="This project has ended. The project was awarded $345,000 total, and of that $344,283.98 was expended. The funding period has now ended.  $716.02 was de-obligated through a work program. The KPS3 media campaign was hugely successful, generating a large amount of reach over a variety of social media platforms. Silver State Equality was also able to implement and support traditional and social media messaging developed by KPS3, and create materials for stigma reduction and educational purposes.  "/>
    <x v="2"/>
    <n v="344283.98"/>
    <m/>
    <n v="344283.98"/>
    <n v="344283.98"/>
    <m/>
    <n v="344283.98"/>
    <n v="0.99792457971014492"/>
    <n v="-716.02"/>
    <n v="344283.98"/>
    <n v="716.02000000001863"/>
    <n v="0"/>
    <s v="Completed"/>
    <m/>
    <m/>
    <s v="No"/>
    <x v="0"/>
    <x v="2"/>
  </r>
  <r>
    <x v="3"/>
    <s v="23CFAEP01"/>
    <s v="EPIDEMIOLOGIST"/>
    <n v="3219"/>
    <d v="2022-10-20T00:00:00"/>
    <d v="2026-10-31T00:00:00"/>
    <n v="1472"/>
    <n v="0.64130434782608692"/>
    <n v="5000000"/>
    <n v="0"/>
    <n v="0"/>
    <n v="5000000"/>
    <n v="5000000"/>
    <n v="0"/>
    <n v="5000000"/>
    <s v="23FRF32192"/>
    <s v="To provide direct support to public departments and provide advance training to people entering the public health workforce."/>
    <s v="Support will be provided through increased staffing to the Office of State Epidemiology and the Office of Analytics through contracted staff to enhance public health infrastructure and response. "/>
    <s v="Allows for increased efficiency to increased public health impact from COVID-19. Will continuously assess DHHS workforce needs to hire staff as necessary"/>
    <s v=" UNLV Kristen- sent several emails to get word out for scholarships, and one more info session in April. Not getting a good response in applications for degree programs. We are working with her to help get the word out. Brian- Fellows have completed self assessments of their skills and started working on individual projects in January. Application process and timeline for Cohort 2 has been developed for launch in the summer of 2025. Host sites have agreed to extend their participation for a second year. One member of the committee has been recruited. The existing mentors will be asked to participate in committee planning meeting in Q1 as part of recruiting the next cohort. EAB 725 (infectious disease epidemiology) and 745 (disease surveillance), courses that will be part of the certificate are currently being offered in the spring. EAB 735 (outbreak investigation) will be offered in the fall of 2025. These three courses are the required courses for the certificate. Certificate continues to progress through the multiple steps of the approval process.                                                      9 full time FTE / Conctractors and 3 summer interns.  Onboarding currently in progress for vacant postions.  Vacancy savings utilized to extend length of coverage for included positions.   Fully obligated - no additional contracts in process or anticipated. "/>
    <x v="1"/>
    <n v="5000000"/>
    <m/>
    <n v="5000000"/>
    <n v="947428.26"/>
    <n v="118275.65"/>
    <n v="1065703.9099999999"/>
    <n v="0.21314078199999997"/>
    <n v="0"/>
    <n v="5000000"/>
    <n v="0"/>
    <n v="0"/>
    <s v="One Time Funding"/>
    <m/>
    <m/>
    <s v="No"/>
    <x v="0"/>
    <x v="1"/>
  </r>
  <r>
    <x v="3"/>
    <s v="23GIDTR01"/>
    <s v="GENOMIC INFECTIOUS DISEASE TRACKING"/>
    <n v="3219"/>
    <d v="2022-10-20T00:00:00"/>
    <d v="2026-06-30T00:00:00"/>
    <n v="1349"/>
    <n v="0.69977761304670127"/>
    <n v="1500000"/>
    <n v="0"/>
    <n v="0"/>
    <n v="1500000"/>
    <n v="1500000"/>
    <n v="0"/>
    <n v="1500000"/>
    <s v="23FRF32193"/>
    <s v="Sub-grant with the Nevada State Public Health Laboratory to support genomic infection disease tracking, data analysis, and enhanced training to support the work of epidemiologists and investigators in the knowledge of genomic biology. "/>
    <s v="N/A"/>
    <s v="N/A"/>
    <s v="Funding has been subawarded to the Nevada State Public Health Lab (SG 26363) for a total of $1,495,835 with a project period of 10/16/2023-12/31/2025. A spend plan was received by NSPHL that details how they will ensure funds are expended, and personnel funds will not extend past 12/31/24. An udpated spend plan was requested when updated guidance was received on personnel. DPBH is waiting for receipt of that and will adjust projections accordingly. Quarterly reports have been requested by DPBH from NSPHL that detail program progress and adherence to spending and subaward requirements. 6-5-24: A total of $20,445.79 has been spent to date, including the April RFR. The udpated spend plan that was reqested on 4/24/24 has not yet been received. NSPHL has submitted their quarterly report, partially completed. Two staff are fully trained in genomics and phylogenetics. No MOUs has been created; NPSHL stated that they are not needed in order to faciliate cooperation from healthcare facilities as there are already agreements to perform testing. 7-1-24: A total of 20,445.79 has been spent to date, including the May RFR which was a $0 draw. The updated spend plan was received, however, nothing was updated by NSPHL. 8-2-24: A total of $131,435.79 (8.8%) has been spent as of June's RFR, which was for $110,990. An updated spend plan was requested, but has not been received. NSPHL experienced turnover at the Lab Director level.; 9-3-24: The PI for this project has been changed from Dr. Pandori to Dr. David Hess. An amendment request to add additional staffing to the personnel category is being explored due to delays in hiring for one position.; 10-4-24 update: Amendment was executed on 10-3-24 to add additional staff, and move funding between categories to increase the amount in operating, while decreasing the amounts in travel, equipment, and personnel. Overall amount of the award remains the same. 11-5-24 update: New Lab Director interviews have taken place. Received an updated spend plan on 10-14. ; 12-6-24 upate: October RFR received, spending appropriately. No issues at this time.  2-6-25 update: waiting for updated quarterly report. RFRs processing as expected. 3/4/225- quartely report received, no updates. 4/4/2025 - NSPHL is up to date on RFRs, no additional updates                                                                                         4 positions, all filled, but one undergoing transition. One position was filled late in the subaward period (Nov 2024) and savings have already been redirected via an amendment to Operating category. The genomic sequencing Clinical Laboratory Scientist position is being vacated by Danielle Sioa, but interviews are underway as of March 2025.                                                                                                                      As of 4.8.2025 NSPHL's Lab-Epi Liasion position is fully proficient with NSPHL genomic testing and bioinformatic interpretation. He is currently developing training presentations for statewide epidemiologists including utilization of the NSPHL dashboard for SARS-CoV-2. This will allow NSPHL to satisfy conditions of their scope of work agreement to increase statewide training and capacity in the working knowledge of genomic biology. 7 trainings have already been delivered, and a pre-post test is in development for future trainings. Additionally, NSPHL implemented a new STARLIMS v12 cloud-based LIMS in December 2024 which will allow data integration with the systems used by the Office of State Epidemiology.  Meetings will be required between the NSPHL IT and genomics staff and the Office of State Epidemiology to define what data is to be electronically transmitted to EpiTRAX to enhance case investigations. At this time, there are no concerns and the project is still anticipated to be completed by Dec 2025.   NSPHL received funding for laboratory equipment service agreements ($134,247.35) that was paid in February 2025. "/>
    <x v="1"/>
    <n v="1500000"/>
    <m/>
    <n v="1500000"/>
    <n v="358090.34"/>
    <n v="203756.13"/>
    <n v="561846.47"/>
    <n v="0.37456431333333329"/>
    <n v="0"/>
    <n v="1500000"/>
    <n v="0"/>
    <n v="0"/>
    <s v="NSPHL and OSE are applying for Epidemiology and Laboratory Capacity (ELC) Grant funding through CDC and writing in the Genomic-Epi-Lab Specialist for Project D-Advanced Molecular Detection. If funded, this position and associated project deliverables will have sustainability through the end of ARPA Funding until the end of the ELC 5 year grant cycle, which is 7/31/2029"/>
    <m/>
    <m/>
    <s v="No"/>
    <x v="0"/>
    <x v="2"/>
  </r>
  <r>
    <x v="3"/>
    <s v="23CDPHP01"/>
    <s v="CHRONIC DISEASE AND HEALTH PROMOTION "/>
    <n v="3220"/>
    <d v="2022-10-20T00:00:00"/>
    <d v="2025-06-30T00:00:00"/>
    <n v="984"/>
    <n v="0.95934959349593496"/>
    <n v="500000"/>
    <n v="0"/>
    <n v="0"/>
    <n v="500000"/>
    <n v="500000"/>
    <n v="0"/>
    <n v="500000"/>
    <s v="23FR322001"/>
    <s v="Local Health Authority (SFY 24: SNHD, NNPH; in SFY25 SNHD, NNPH, and training and media) Wellness Efforts- 5210"/>
    <s v="Objectives are to support wellness efforts statewide with selected local health authorities sharing 5-2-1-0 wellness content and some staffing support."/>
    <s v="Wellness efforts support health and decrease factors leading to chronic disease development and associated higher COVID-19 risk."/>
    <s v="This project is on track and spend down is appropriate.  A term extension request was submitted to GFO through to 6/30/25 to accommodate the needs of the local health authorities.  Carson City Health and Human Services decided they will no longer be doing activities if the term extension is granted in SFY25.  Current funded partners include Southern Nevada Health District and Northern Nevada Health District.  Wellness and 5-2-1-0 activities continue in an effort to improve physical activity, nutrition, and educational outreach to promote wellness. Plans to build wellness trainings, materials, and media buys related to wellness and nutrition promotion will address the funds that were planned to go to CCHHS in SFY25 that no longer will do so.  (KPS3 SA to complete this work was executed January 2025). Additionally, a state printing order is pending completion to spend down the remaining $7,100 and will be used to print resource materials and posters to have on hand at the state office for partners to utilize and to use at the 2025 food security conference.                                                                                                             No state FTE or contractors are associated with this award.  SG exectuted in prior SFY. One final state printing PO was routed last week,  KPS3 Service Agreement executed and was on March BOE. No concerns."/>
    <x v="0"/>
    <n v="500000"/>
    <m/>
    <n v="500000"/>
    <n v="335552.48"/>
    <n v="3765.19"/>
    <n v="339317.67"/>
    <n v="0.67863533999999992"/>
    <n v="0"/>
    <n v="500000"/>
    <n v="0"/>
    <n v="0"/>
    <s v="One Time Funding"/>
    <s v="Wellness efforts by two local health authorities continue."/>
    <n v="500000"/>
    <s v="No"/>
    <x v="0"/>
    <x v="2"/>
  </r>
  <r>
    <x v="3"/>
    <s v="22BBNTY01"/>
    <s v="CRG - Baby's Bounty Diaper Bank/Baby Bundles"/>
    <n v="3222"/>
    <d v="2022-04-01T00:00:00"/>
    <d v="2023-03-31T00:00:00"/>
    <n v="364"/>
    <n v="1"/>
    <n v="201802"/>
    <n v="0"/>
    <n v="0"/>
    <n v="201802"/>
    <n v="201802"/>
    <n v="0"/>
    <n v="201802"/>
    <s v="22FR322201"/>
    <s v="To provide child safety and wellness items for families living at or under 130% Federal Poverty Level in Clark County.  Baby bundles of needed diapering resources, car seats, and safe sleep environments are provided."/>
    <s v="Low income families receive safety, wellness, and diapering resources.  Car seats and safe sleep environments will prevent infant mortality."/>
    <s v="Families impacted by the pandemic economically and who are low income will be able to receive  life-saving and health promoting interventions they would otherwise not be able to afford."/>
    <s v="This project was previously successfully completed and was fully expended 3/2023."/>
    <x v="2"/>
    <n v="201802"/>
    <m/>
    <n v="201802"/>
    <n v="201802"/>
    <m/>
    <n v="201802"/>
    <n v="1"/>
    <n v="0"/>
    <n v="201802"/>
    <n v="0"/>
    <n v="0"/>
    <s v="Completed"/>
    <s v="Between 4/1/22 and 9/30/22, 13 diaper banks were held, each serving between 500-600 families and 397 Baby Bundles were distributed to families."/>
    <n v="201802"/>
    <s v="No"/>
    <x v="2"/>
    <x v="2"/>
  </r>
  <r>
    <x v="3"/>
    <s v="23NBSTR01"/>
    <s v="UNR NSPHL Newborn"/>
    <n v="3222"/>
    <d v="2022-10-20T00:00:00"/>
    <d v="2026-10-31T00:00:00"/>
    <n v="1472"/>
    <n v="0.64130434782608692"/>
    <n v="3953689"/>
    <n v="0"/>
    <n v="0"/>
    <n v="3953689"/>
    <n v="3953689"/>
    <n v="0"/>
    <n v="3953689"/>
    <s v="23FR322202"/>
    <s v="Funds support the addition of five new disorders on the newborn screening blood spot panel, as well as associated equipment and supplies to add those disorders, and implementation of an HL7 connection to selected state birthing hospitals."/>
    <s v="The objective of the funding is to ensure infants are screened for five additional disorders to ensure timely detection and treatment to prevent mortality and severe morbidity."/>
    <s v="Newborn screening prevents needless infant deaths and can reduce severity of health outcomes through timely treatment of rare conditions that otherwise would go undiagnosed and untreated."/>
    <s v="This project has successfully launched one new disorder on the newborn screening blood spot panel, a second disorder is expected to be launched by June of 2024, and an additional three disorders over the term of the project are pending.  An amendment is being done to move Personnel costs budgeted from January 1, 2025, onward into other costs to support the scope of work deliverables.  Recent meetings with the Nevada State Public Health Laboratory led to an updated spend plan and a quarterly meeting and discussion of a possible site visit date will be scheduled soon.                                         No positions after 12/31/25 were funded per prior direction.  No state FTE or contractors are associated with this award.  lab will be relocated to new building under construction with a projected May 2026 certificate of occupancy. SG exectuted in prior SFY.  No concerns other than a mention by UNR staff that their bill to increase NBS fee from $80 to $150 needs to pass or they won't have sustainability and if it fails, it could impact spend down.  So far large purchases for instrumentation have been on track and no concerns, the lab staff expressed at April IFC that they are no longer dependent on construction before equiptment can be purchased."/>
    <x v="1"/>
    <n v="3953689"/>
    <m/>
    <n v="3953689"/>
    <n v="1536970.11"/>
    <n v="0"/>
    <n v="1536970.11"/>
    <n v="0.13600000000000001"/>
    <n v="0"/>
    <n v="3953689"/>
    <n v="0"/>
    <n v="0"/>
    <s v="One Time Funding"/>
    <s v="Partial equipment purchases have been completed and testing in in process for X-ALD with an estimated launch date of late September."/>
    <s v="All of the award; newborn screening is an evidence based intervention."/>
    <s v="No"/>
    <x v="0"/>
    <x v="2"/>
  </r>
  <r>
    <x v="3"/>
    <s v="22BHCGM01"/>
    <s v="CONTRACT MANAGEMENT SYSTEM"/>
    <n v="3223"/>
    <d v="2022-05-05T00:00:00"/>
    <d v="2026-06-30T00:00:00"/>
    <n v="1517"/>
    <n v="0.73302570863546468"/>
    <n v="477606"/>
    <n v="0"/>
    <n v="0"/>
    <n v="477606"/>
    <n v="477606"/>
    <n v="0"/>
    <n v="477606"/>
    <s v="22FRF32231"/>
    <s v="To move to an electric contract management system that optimized the processes for all stakeholders."/>
    <s v="Implementation of a new electronic contracting management system will allow for efficient processing of all the new contracts needed for implementing the approved COVID initiatives."/>
    <s v="The electronic contract management system will optimize the processes for all stakeholders. It will allow the division to improve the contract process to increase overall effectiveness and efficiency."/>
    <s v="Project expected to expend fully by April 2026. The project created the DPBH Revitalized &amp; Optimized Contract System (ROCS) for the divisions sub award documents. The project has decreased the timeline for all things sub award related between the division and the subrecipients. A project extention request was sent to the GFO for review and approval.  This request was approved and extends the project into SFY26, which will allow for a final update to the system prior to the contract with Agate ending."/>
    <x v="0"/>
    <n v="477606"/>
    <m/>
    <n v="477606"/>
    <n v="395865"/>
    <n v="0"/>
    <n v="395865"/>
    <n v="0.82885265260486674"/>
    <n v="0"/>
    <n v="477606"/>
    <n v="0"/>
    <n v="0"/>
    <s v="On going cost for the system will be Indirect cost and Cost Allocation."/>
    <s v="N/A"/>
    <s v="N/A"/>
    <s v="No"/>
    <x v="0"/>
    <x v="0"/>
  </r>
  <r>
    <x v="3"/>
    <s v="22BHSTF01b ($0 REPORTED ON GFO WORKBOOK)"/>
    <s v="Fiscal Staff - FY24"/>
    <n v="3223"/>
    <d v="2023-07-01T00:00:00"/>
    <d v="2026-06-30T00:00:00"/>
    <n v="1095"/>
    <n v="0.63013698630136983"/>
    <n v="0"/>
    <n v="0"/>
    <n v="0"/>
    <n v="0"/>
    <n v="0"/>
    <n v="0"/>
    <n v="284159"/>
    <s v="23FRF32231"/>
    <s v="Three interim full-time positions and one part-time contractor to assist with ARPA Fiscal Activity and Grant Reporting."/>
    <s v="The Division has received extraordinary amounts of federal COVID grant funds since the beginning of 2020. These positions will provide additional support to ensure implementation of all awards will not be delayed in SFY24."/>
    <s v="This budget revision and performance period extension request is to transfer $404,873 from 24INTFP01 to 22BHSTF01 and to extend the project through March 31, 2027. The division’s multiple ARPA projects are expected to continue through December 2026 with final reporting due by March 31, 2027. Continuation of the positions are needed to complete the work associated with the funding. Without the positions, division staff would be required to take on additional duties and current capacity does not allow for that."/>
    <s v="The DPBH and GFO are working together to extend this project through March 31, 2027. Additional funds are being transferred from 24INTFP01 to support the extension. We anticipate finalizing the extension in May 2025. All funds for this project are projected to be fully utilized."/>
    <x v="0"/>
    <n v="284159"/>
    <m/>
    <n v="284159"/>
    <n v="126492.19"/>
    <n v="24377.19"/>
    <n v="150869.38"/>
    <n v="0.53093296358728737"/>
    <n v="0"/>
    <n v="284159"/>
    <n v="-284159"/>
    <n v="0"/>
    <s v="Indirect cost and Cost Allocation."/>
    <s v="N/A"/>
    <s v="N/A"/>
    <s v="No"/>
    <x v="0"/>
    <x v="1"/>
  </r>
  <r>
    <x v="3"/>
    <s v="22BHSTF01d ($0 REPORTED ON GFO WORKBOOK)"/>
    <s v="Fiscal Staff - FY26"/>
    <n v="3223"/>
    <d v="2025-07-01T00:00:00"/>
    <d v="2026-06-30T00:00:00"/>
    <n v="364"/>
    <n v="-0.11263736263736264"/>
    <n v="0"/>
    <n v="0"/>
    <n v="0"/>
    <n v="0"/>
    <n v="0"/>
    <n v="0"/>
    <n v="252976"/>
    <s v="23FRF32231"/>
    <s v="Three interim full-time positions and one part-time contractor to assist with ARPA Fiscal Activity and Grant Reporting."/>
    <s v="The Division has received extraordinary amounts of federal COVID grant funds since the beginning of 2020. These positions will provide additional support to ensure implementation of all awards will not be delayed in SFY26."/>
    <s v="This budget revision and performance period extension request is to transfer $404,873 from 24INTFP01 to 22BHSTF01 and to extend the project through March 31, 2027. The division’s multiple ARPA projects are expected to continue through December 2026 with final reporting due by March 31, 2027. Continuation of the positions are needed to complete the work associated with the funding. Without the positions, division staff would be required to take on additional duties and current capacity does not allow for that."/>
    <s v="The DPBH and GFO are working together to extend this project through March 31, 2027. Additional funds are being transferred from 24INTFP01 to support the extension. We anticipate finalizing the extension in May 2025. All funds for this project are projected to be fully utilized."/>
    <x v="6"/>
    <n v="252976"/>
    <m/>
    <n v="252976"/>
    <n v="0"/>
    <n v="0"/>
    <n v="0"/>
    <n v="0"/>
    <n v="0"/>
    <n v="252976"/>
    <n v="-252976"/>
    <n v="0"/>
    <s v="Indirect cost and Cost Allocation."/>
    <s v="N/A"/>
    <s v="N/A"/>
    <s v="No"/>
    <x v="0"/>
    <x v="1"/>
  </r>
  <r>
    <x v="3"/>
    <s v="22BHSTF01a"/>
    <s v="DPBH STAFFING for ARPA Reporting-SFY23"/>
    <n v="3223"/>
    <d v="2022-07-01T00:00:00"/>
    <d v="2026-06-30T00:00:00"/>
    <n v="1460"/>
    <n v="1"/>
    <n v="369823"/>
    <n v="587495"/>
    <n v="0"/>
    <n v="957318"/>
    <n v="552445"/>
    <n v="404873"/>
    <n v="552445"/>
    <s v="23FRF32231"/>
    <s v="Three interim full-time positions and one part-time contractor to assist with ARPA Fiscal Activity and Grant Reporting."/>
    <s v="The Division has received extraordinary amounts of federal COVID grant funds since the beginning of 2020. These positions  provided additional support to ensure implementation of all awards will not be delayed in SFY23."/>
    <s v="These positions assisted the division in redistributing the workload due to the continued impact of COVID-19.  It was critical that administrative staff be added to the public health workforce to perform daily work."/>
    <s v="This original NOA was for the first state fiscal year only.  The request to amend the NOA to include funding for all four years was requested and is still being worked on by GFO and DPBH.   A meeting with the GFO to discuss this request is scheduled for March 27, 2024, resulting in an updated NOA for all four state fiscal three years."/>
    <x v="2"/>
    <n v="552445"/>
    <m/>
    <n v="552445"/>
    <n v="552445"/>
    <n v="0"/>
    <n v="552445"/>
    <n v="1"/>
    <n v="234949.2"/>
    <n v="787394.2"/>
    <m/>
    <n v="234949.19999999995"/>
    <s v="Indirect cost and Cost Allocation."/>
    <s v="N/A"/>
    <s v="N/A"/>
    <s v="No"/>
    <x v="0"/>
    <x v="1"/>
  </r>
  <r>
    <x v="3"/>
    <s v="22BHSTF01c"/>
    <s v="Fiscal Staff - FY25"/>
    <n v="3223"/>
    <d v="2024-07-01T00:00:00"/>
    <d v="2026-06-30T00:00:00"/>
    <n v="729"/>
    <n v="0.44444444444444442"/>
    <n v="0"/>
    <n v="0"/>
    <n v="0"/>
    <n v="0"/>
    <n v="0"/>
    <n v="0"/>
    <n v="268286"/>
    <s v="23FRF32231"/>
    <s v="Three interim full-time positions and one part-time contractor to assist with ARPA Fiscal Activity and Grant Reporting."/>
    <s v="The Division has received extraordinary amounts of federal COVID grant funds since the beginning of 2020. These positions will provide additional support to ensure implementation of all awards will not be delayed in SFY25."/>
    <s v="This budget revision and performance period extension request is to transfer $404,873 from 24INTFP01 to 22BHSTF01 and to extend the project through March 31, 2027. The division’s multiple ARPA projects are expected to continue through December 2026 with final reporting due by March 31, 2027. Continuation of the positions are needed to complete the work associated with the funding. Without the positions, division staff would be required to take on additional duties and current capacity does not allow for that."/>
    <s v="The DPBH and GFO are working together to extend this project through March 31, 2027. Additional funds are being transferred from 24INTFP01 to support the extension. We anticipate finalizing the extension in May 2025. All funds for this project are projected to be fully utilized."/>
    <x v="0"/>
    <n v="268286"/>
    <m/>
    <n v="268286"/>
    <n v="182680.82"/>
    <n v="0"/>
    <n v="182680.82"/>
    <n v="0.68091819923514463"/>
    <n v="0"/>
    <n v="268286"/>
    <n v="-268286"/>
    <n v="0"/>
    <s v="Indirect cost and Cost Allocation."/>
    <s v="N/A"/>
    <s v="N/A"/>
    <s v="No"/>
    <x v="0"/>
    <x v="1"/>
  </r>
  <r>
    <x v="3"/>
    <s v="24INTFP01"/>
    <s v="10 intermittent fiscal staff in L01 -  E226"/>
    <n v="3223"/>
    <d v="2023-07-01T00:00:00"/>
    <d v="2026-06-30T00:00:00"/>
    <n v="1095"/>
    <n v="0.63013698630136983"/>
    <n v="1730793"/>
    <n v="-824959"/>
    <n v="0"/>
    <n v="905834"/>
    <n v="1730793"/>
    <n v="-824959"/>
    <n v="1730793"/>
    <s v="23FRF32231"/>
    <s v="To support ten intermittent State FTEs to relieve the administrative burden of increased workloads of state, federal, and ARPA grant and fiscal management activities"/>
    <s v="These positions will provide adequate response-ready public health workforce implementation and will assist the division with redistributing DPBH’s workload due to COVID-19. "/>
    <s v="Project will continue with current funding stream and performance period ending 06/30/2026"/>
    <s v="Work Program WP25FR322301 was approved on March 13, 2024, to de-obligate $420,086 based on GFO guidance. The project ends June 30, 2025. Any remaining funds will be transferred to the DPBH Jail Based program and the 22BHSTF01 project (Fiscal staff in BA 3223)."/>
    <x v="1"/>
    <n v="1310707"/>
    <m/>
    <n v="1310707"/>
    <n v="0"/>
    <n v="0"/>
    <n v="0"/>
    <n v="0"/>
    <n v="-420086"/>
    <n v="1310707"/>
    <n v="420086"/>
    <n v="0"/>
    <s v="One Time Funding"/>
    <s v="N/A"/>
    <s v="N/A"/>
    <s v="No"/>
    <x v="0"/>
    <x v="1"/>
  </r>
  <r>
    <x v="3"/>
    <s v="23RHSCC01"/>
    <s v="Comprehensive Reproductive Health Services "/>
    <n v="3224"/>
    <d v="2023-01-01T00:00:00"/>
    <d v="2026-12-31T00:00:00"/>
    <n v="1460"/>
    <n v="0.59657534246575339"/>
    <n v="6446148"/>
    <n v="0"/>
    <n v="0"/>
    <n v="6446148"/>
    <n v="6446148"/>
    <n v="0"/>
    <n v="6446148"/>
    <s v="23FRF32241"/>
    <s v="Support reproductive health services for Community Health Services, Carson City Health and Human Services, Northern Nevada Health District and Central Nevada Health District. "/>
    <s v="Supports family planning  activities not fully funded by Title X in rural Nevada, Washoe County and Carson City. "/>
    <s v="Continue to provide family planning and reproductive health services to underserved and uninsured communities outside of Clark County. "/>
    <s v="It is anticipated that the entire amount will be expended. Upon discussion with CCHHS, they will begin subawarding ARPA funds to Douglas County begining January 1, 2025, as they are working with them on a budget; they anticipate spending their full award amount of $1,274,800 during the project period. RFRs from subgrantees are delayed for CNHD and NNHD as RFRs going to the month of October have not been submitted. Program has met with subgrantees (NNPH, CNHD, and CCHHS ) to discuss the need for updated spend plans and current expended amounts to ensure all funds are utilized. Program intends to meet with each subgrantee a minimum of quarterly to ensure approriate spendown. Subgrantees have been advised unobligated funds would be returned. "/>
    <x v="1"/>
    <n v="6446148"/>
    <m/>
    <n v="6446148"/>
    <n v="2237087.92"/>
    <n v="151217.39000000001"/>
    <n v="2388305.31"/>
    <n v="0.37050115976238834"/>
    <n v="0"/>
    <n v="6446148"/>
    <n v="0"/>
    <n v="0"/>
    <s v="Title X award is partially funded at 40% of current grant period (4/1/24 -3/31/25)."/>
    <m/>
    <m/>
    <s v="No"/>
    <x v="0"/>
    <x v="2"/>
  </r>
  <r>
    <x v="3"/>
    <s v="23HCWSS02"/>
    <s v="Health Care Workforce Scholarships and Staff Support"/>
    <n v="3234"/>
    <d v="2023-06-14T00:00:00"/>
    <d v="2026-12-31T00:00:00"/>
    <n v="1296"/>
    <n v="0.54552469135802473"/>
    <n v="5494300"/>
    <n v="0"/>
    <n v="0"/>
    <n v="5494300"/>
    <n v="5494300"/>
    <n v="0"/>
    <n v="5494300"/>
    <s v="24FRF32341"/>
    <s v="Fund Scholarships to increase the State's health care workforce and provide contract support staff."/>
    <s v="$4,795,725 for Health Care Workforce Scholarships to include Community Health Workers, Clinical Rotations, Doulas, Medical Assistants, and Training Scholarships. $112,000 for J-1 Visa Scholarships will be administered directly by DPBH. $586,575 for contractual line items will be retained by DPBH."/>
    <s v="Allows for increased efficiency to increased public health impact from COVID-19. Will continuously assess DHHS workforce needs to hire staff as necessary"/>
    <s v="Through an RFA process, the ARPA Health Care Workforce Pipeline Grant for Lactation Consultants was created to collaborate with local educational, community-based, and non-profit partners to recruit, upskill and strengthen Nevada’s health workforce. The following organizations were awarded focusing on increasing IBCLCs: Birth Collaborative Las Vegas - $22,902 and UNLV - $643,098.Both subawards have been fully executed and the funds are obligated. 10/1-2024 Birth Collaborative Las Vegas has had no progress thus far on their Lactation Consultants award, hoping to see spend down next month. UNLV Pipeline Scholarships first round of scholarships will be awarded Oct 15th, spend down $14,334.54. 11/1/2024  UNLV Pipeline Scholarships 16 awarded 1 person from rural declining due to military obligations. 14 awarded. All designated their training. Initial meeting with each recipient to create scholarship plan. Plans to be created by Rikki, monthly meetings to be held. Web campus built for communication between cohort. Birth Collaborative Las Vegas has requested a Budget amendment $10,508.00 from Personnel to Contractual/Consultant. Black course, building media for scholarship presentations and website, January cohort is up and running, lactation will run along side other programs. Spend down is on labor only so far. 4/2/2025 UNLV Pipeline Scholarships One of the sites, one of the MOU’s wordings must change. Clinical hours begin in May. Coalition having some difficulties in dissolving, due to money in the account. Causing the merge to delay. Birth Collaborative Las Vegas Lactation Professional Students recruited has dropped out.                                                                                                                                                                   CDCF SG = 1 MA2 and 1 HRA 1.  Contracts under this award are with KPS3 for website building purposes.  "/>
    <x v="1"/>
    <n v="5494300"/>
    <m/>
    <n v="5494300"/>
    <n v="576000.79"/>
    <n v="115691.72"/>
    <n v="691692.51"/>
    <n v="0.1258927452086708"/>
    <n v="0"/>
    <n v="5494300"/>
    <n v="0"/>
    <n v="0"/>
    <s v="One Time Funding"/>
    <s v="N/A"/>
    <s v="N/A"/>
    <s v="No"/>
    <x v="0"/>
    <x v="1"/>
  </r>
  <r>
    <x v="3"/>
    <s v="23IBCLC02"/>
    <s v="International Board Certified Lactation Consultants "/>
    <n v="3234"/>
    <d v="2023-06-15T00:00:00"/>
    <d v="2026-12-31T00:00:00"/>
    <n v="1295"/>
    <n v="0.54517374517374517"/>
    <n v="666000"/>
    <n v="0"/>
    <n v="0"/>
    <n v="666000"/>
    <n v="0"/>
    <n v="666000"/>
    <n v="666000"/>
    <s v="24FRF32342"/>
    <s v="Funding to train lactation consultants"/>
    <s v="RFA released December 29, 2023, to subaward $666,000 for Lactation Consultants. Funding determinations will be made by February 27, 2024, with subawards to be issued thereafter for a project period of March 1, 2024 – November 30, 2026.  "/>
    <s v="Allows for increased efficiency to increased public health impact from COVID-19. Will continuously assess DHHS workforce needs to hire staff as necessary"/>
    <s v="Through an RFA process, the ARPA Health Care Workforce Pipeline Grant for Lactation Consultants was created to collaborate with local educational, community-based, and non-profit partners to recruit, upskill and strengthen Nevada’s health workforce. The following organizations were awarded focusing on increasing IBCLCs: Birth Collaborative Las Vegas - $22,902 and UNLV - $643,098.Both subawards have been fully executed and the funds are obligated. 10/1-2024 Birth Collaborative Las Vegas has had no progress thus far on their Lactation Consultants award, hoping to see spend down next month. UNLV Pipeline Scholarships first round of scholarships will be awarded Oct 15th, spend down $14,334.54. 11/1/2024  UNLV Pipeline Scholarships 16 awarded 1 person from rural declining due to military obligations. 14 awarded. All designated their training. Initial meeting with each recipient to create scholarship plan. Plans to be created by Rikki, monthly meetings to be held. Web campus built for communication between cohort. Birth Collaborative Las Vegas has requested a Budget amendment $10,508.00 from Personnel to Contractual/Consultant. Black course, building media for scholarship presentations and website, January cohort is up and running, lactation will run along side other programs. Spend down is on labor only so far.   UNLV Pipeline Scholarships One of the sites, one of the MOU’s wordings must change. Clinical hours begin in May. Coalition having some difficulties in dissolving, due to money in the account. Causing the merge to delay. Birth Collaborative Las Vegas Lactation Professional Students recruited has dropped out.                                                                                                                 No state FTE or Contractors on this award.  No contracts under this award.  All Sub grants and all funds fully obligated."/>
    <x v="1"/>
    <n v="666000"/>
    <m/>
    <n v="666000"/>
    <n v="85641.86"/>
    <n v="4668.29"/>
    <n v="90310.15"/>
    <n v="0.1356008258258258"/>
    <n v="0"/>
    <n v="666000"/>
    <n v="-666000"/>
    <n v="0"/>
    <s v="One Time Funding"/>
    <s v="N/A"/>
    <s v="N/A"/>
    <s v="No"/>
    <x v="0"/>
    <x v="1"/>
  </r>
  <r>
    <x v="3"/>
    <s v="22LCSFD01"/>
    <s v="LAKES CROSSING - FOOD SERVICE"/>
    <n v="3645"/>
    <d v="2022-06-21T00:00:00"/>
    <d v="2022-06-30T00:00:00"/>
    <n v="9"/>
    <n v="1"/>
    <n v="107270"/>
    <n v="14295.5"/>
    <n v="0"/>
    <n v="121565.5"/>
    <n v="107270"/>
    <n v="14295.5"/>
    <n v="107270"/>
    <s v="22FRF36451"/>
    <s v="The Lakes Crossing Center Food Category"/>
    <s v="This project provided funding as it relates to food expenditures for the clients at Lakes Crossing Center"/>
    <s v="N/A"/>
    <s v="This project is complete. No new obligations executed since January 1, 2024."/>
    <x v="2"/>
    <n v="92974.5"/>
    <m/>
    <n v="92974.5"/>
    <n v="92974.5"/>
    <m/>
    <n v="92974.5"/>
    <n v="0.86673347627482056"/>
    <n v="-14295.5"/>
    <n v="92974.5"/>
    <n v="14295.5"/>
    <n v="0"/>
    <s v="Complete"/>
    <s v="N/A"/>
    <s v="N/A"/>
    <s v="No"/>
    <x v="3"/>
    <x v="4"/>
  </r>
  <r>
    <x v="3"/>
    <s v="23LCCMS01"/>
    <s v="Lakes Crossing Camera System"/>
    <n v="3645"/>
    <d v="2022-08-18T00:00:00"/>
    <d v="2025-06-30T00:00:00"/>
    <n v="1047"/>
    <n v="0.96179560649474694"/>
    <n v="1462644"/>
    <n v="0"/>
    <n v="0"/>
    <n v="1462644"/>
    <n v="1462644"/>
    <n v="0"/>
    <n v="1462644"/>
    <s v="23FRF36451"/>
    <s v="This project upgrades the camera system and control room. "/>
    <s v="This project upgrades and expands the existing camera control system along with structural changes to aid in the security and increased observation of high acuity clients."/>
    <s v="N/A"/>
    <s v="The Video Surveillance and Access Control project is nearing completion, with Closeout Documents planned for May 2, 2025. However, the Final Inspection is to be determined as there are multiple items that have been delayed or needed correction or troubleshooting from the initial Punch Walk. The Test and Balance was completed on 4/1/2025 and received verbal approval, still awaiting the report. HMI/PCL completion is still being worked on with project completion unknown at this time. Troubleshooting for the Duress system is in progress to determine a cause of malfunction/defective receivers. Light fixtures for the Chart Room are awaiting shipment, which was delayed, and we are awaiting shipping confirmation for 3 cameras to be installed in identified blind spots. Workstations for the Lieutenant and Nursing office are pending delivery with no confirmed received date."/>
    <x v="1"/>
    <n v="1462644"/>
    <m/>
    <n v="1462644"/>
    <n v="636094.67999999993"/>
    <n v="7044.5"/>
    <n v="643139.17999999993"/>
    <n v="0.43970999094789981"/>
    <n v="0"/>
    <n v="1462644"/>
    <n v="0"/>
    <n v="0"/>
    <s v="One Time Project"/>
    <s v="N/A"/>
    <s v="N/A"/>
    <s v="Yes"/>
    <x v="3"/>
    <x v="0"/>
  </r>
  <r>
    <x v="3"/>
    <s v="24FRPOS01"/>
    <s v="Forensic Professional Services - Lake Crossing"/>
    <n v="3645"/>
    <d v="2023-12-13T00:00:00"/>
    <d v="2026-12-31T00:00:00"/>
    <n v="1114"/>
    <n v="0.47127468581687615"/>
    <n v="4920000"/>
    <n v="-1404094"/>
    <n v="0"/>
    <n v="3515906"/>
    <n v="4920000"/>
    <n v="-1404094"/>
    <n v="4920000"/>
    <s v="24FRF36452"/>
    <s v="Funding to hire additional professional staff to provide evaluations at Lake's Crossing Center and Stein"/>
    <s v="This project provides funding to allow forensic facilities to bolster their inpatient and outpatient programs to decrease waitlist."/>
    <s v="N/A"/>
    <s v="Recruitment efforts continue to fill the specialized clinical positions required for forensic services. To date we have hired 17 clinical staff under ARPA funds who are active in client treatment and restoration. Contract professional staff will continue to expand forensic services as funding allows.  "/>
    <x v="1"/>
    <n v="4260000"/>
    <m/>
    <n v="4260000"/>
    <n v="822149.22"/>
    <n v="99878.29"/>
    <n v="922027.51"/>
    <n v="0.18740396544715449"/>
    <n v="-660000"/>
    <n v="4260000"/>
    <n v="660000"/>
    <n v="0"/>
    <s v="Budget Request"/>
    <s v="N/A"/>
    <s v="N/A"/>
    <s v="No"/>
    <x v="0"/>
    <x v="4"/>
  </r>
  <r>
    <x v="3"/>
    <s v="23CYRMC01"/>
    <s v="DPBH - Children and Youth Rural Mobile Crisis Response Team"/>
    <n v="3648"/>
    <d v="2022-10-20T00:00:00"/>
    <d v="2025-06-30T00:00:00"/>
    <n v="984"/>
    <n v="0.95934959349593496"/>
    <n v="572381"/>
    <n v="0"/>
    <n v="0"/>
    <n v="572381"/>
    <n v="572381"/>
    <n v="0"/>
    <n v="572381"/>
    <s v="23FRF36481"/>
    <s v="To expand, sustain and improve the current Rural Mobile Crisis Response Team by aligning with statewide efforts related to 988, the National Crisis Now Model and the Medicaid Expansion Mobile Crisis Planning Grant.  The ARPA funds awarded will provide funding for a pilot project for a 27-month period (through 12/31/24), which will provide two in-person, peer lead mobile crisis response teams in Elko County. The pilot project will allow Rural Clinics to assess if this type of service could be sustainable in rural communities.  The ARPA funding will provide for 2 contract Consumer Services Assistants (peer support) and 2 contract Psychiatric Case Managers.  These positions would allow for 2 in-person teams available to respond.  Cell phones and iPads will be part of the team’s equipment and will allow the families to sign consent forms via DocuSign as well as connect with the crisis clinician via telehealth.  The project has not officially started, Rural Clinics is in the process of obtaining quotes to order iPad and cell phones needed for the team.  The 4 positions will be filled with temp employees once the equipment is received. "/>
    <s v="The entire population of children and youth in Nevada were exposed to behavioral stressors due to the pandemic.  Due to this increased pressure on our health care and behavioral health systems, more children, youth, families and adults had unmet behavioral health needs across Nevada’s communities and youth were lingering in emergency departments for long periods of time due to overcrowded higher levels of care.  There was also increase pressures within child welfare and juvenile justice systems.  Mobile Crisis funds are helping youth and families to access to 24/7 mental health crisis care. "/>
    <s v="Currently, along with the above concerns, there is a cost of unemployment due to a youth’s behavioral healthcare needs.   Currently there are no in-person crisis response services in Elko County.  This pilot program, funded through ARPA monies, provides an opportunity to build crisis services that would qualify for the Medicaid Expansion reimbursement rate and in-turn help build more robust response and stabilization services to help combat the increased pressure on the behavioral health system due to the pandemic.  Currently, this program includes (Michelle – please indicate the staffing purchased with these funds) "/>
    <s v="This project is fully underway and providing in-person crisis services in Elko County. This project did not receive additional funds to allow it to continue.  This project will cease once the funds are expended or when the 4 FTE contractors leave for new employment.  The funds will allow the program to continue until approximately June 13th.  If the 4 contractors leave before then, there is a chance we will have funds to give back because these funds can only be spent on provider contracts.                                                                            4 FTE contractors.  No vacancies.  Fully obligated - no additional contracts in process or anticipated. "/>
    <x v="1"/>
    <n v="572381"/>
    <m/>
    <n v="572381"/>
    <n v="494530.08"/>
    <n v="38884.080000000002"/>
    <n v="533414.16"/>
    <n v="0.9319214998401415"/>
    <n v="0"/>
    <n v="572381"/>
    <n v="0"/>
    <n v="0"/>
    <s v="Medicaid will be billed when possible for the crisis services and a budget enhancement will be requested."/>
    <s v="N/A"/>
    <n v="0"/>
    <s v="No"/>
    <x v="1"/>
    <x v="4"/>
  </r>
  <r>
    <x v="3"/>
    <s v="23LRHA01a"/>
    <s v="Local &amp; Regional Authorities Washoe "/>
    <s v="3223/34"/>
    <d v="2022-08-17T00:00:00"/>
    <d v="2026-12-31T00:00:00"/>
    <n v="1597"/>
    <n v="0.63118346900438327"/>
    <n v="10000000"/>
    <n v="0"/>
    <n v="0"/>
    <n v="10000000"/>
    <n v="10000000"/>
    <n v="0"/>
    <n v="10000000"/>
    <s v="23FRF32232"/>
    <s v="Northern Nevada Public Health design and construction of a Tuberculosis Clinic"/>
    <s v="Funding will support the design and construction of a Tuberculosis Clinic, and other Public Health or Community and Clinical Health Services offices to serve the residents of Washoe County."/>
    <s v="These investments will better allow each public health agency to continue to support the COVID response and recovery and position themselves to be better equipped to handle other public health needs in the coming years."/>
    <s v="NNPH has architectural plans for the TB Clinic.  It is being built on West Hills in Reno, NV. They are working on a floor plan, outside design, and addressing safety and site issues with the City of Reno. They’ve hired a contractor who will be responsible for the build. Their March expenses as of 3/26 will be $96,121.42 for a total of nearly $100,000.  They will provide an updated quarterly spend-plan and everything will be encumbered by December 2024.  They are hoping to have the final build by February 2025. NNPH also plans to fully expend the allocated funds by March 2026. 10/5/2024: The internal design team began meeting on a weekly basis to work on finalizing details of the building design. Meetings are held on Fridays at 9:00 am. The SUP process was started for the City of Reno (approving jurisdiction) and will be completed in future quarters. The SUP was approved by the City of Reno Planning Commission on May 15, 2024. The internal design team continues to meet weekly finalizing details of the building design. Meetings continue to be held on Fridays at 9:00 am. Final Building plans will be submitted for permitting in August 2024. Original timeline is still accurate with the breaking of ground to occur in December 2024. 4/2/2025 Final Building plans were submitted for permitting in August 2024. All current required permits have been approved (March 31, 2025) The CMAR process was used. The contract went before the Board of County Commissioners on November 19, 2024. Construction has started.  Certificate of operation is set for Jan. 2026 with patients being served by February 2026. Project is currently on time and on budget. "/>
    <x v="1"/>
    <n v="10000000"/>
    <m/>
    <n v="10000000"/>
    <n v="898109.97"/>
    <n v="28225.27"/>
    <n v="926335.24"/>
    <n v="9.2633523999999995E-2"/>
    <n v="0"/>
    <n v="10000000"/>
    <n v="0"/>
    <n v="0"/>
    <s v="Budget Request"/>
    <s v="N/A"/>
    <s v="N/A"/>
    <s v="Yes"/>
    <x v="3"/>
    <x v="0"/>
  </r>
  <r>
    <x v="3"/>
    <s v="23LRHA01b"/>
    <s v="Local &amp; Regional Authorities Carson "/>
    <s v="3223/34"/>
    <d v="2022-08-17T00:00:00"/>
    <d v="2026-12-31T00:00:00"/>
    <n v="1597"/>
    <n v="0.63118346900438327"/>
    <n v="3700000"/>
    <n v="0"/>
    <n v="0"/>
    <n v="3700000"/>
    <n v="3700000"/>
    <n v="0"/>
    <n v="3700000"/>
    <s v="23FRF32232"/>
    <s v="Carson City Health and Human Services to increase staff capacity and address growing community health needs."/>
    <s v="Enhance Carson City Health and Human Services (CCHHS) public health workforce infrastructure b hiring personnel to perform duties needed to increase public health services to the residents served by CCHHS."/>
    <s v="These investments will better allow each public health agency to continue to support the COVID response and recovery and position themselves to be better equipped to handle other public health needs in the coming years."/>
    <s v="CCHHS is in the final stages of developing the amended budget.  The amended subaward should be processed shortly. The amendment is to increase their current budget by $2,950,366 for a total award of $3,700,000. Current and ongoing allocations are for personnel, travel, and indirect expenses. A quarterly spend-plan has been requested and we will receive quarterly updates starting April 2024. 10/5/2024: Final subaward amendment awaits partner signature for final execution. The following positions have been filled in September 2024: Fiscal Analyst, Mosquito Abatement Personnel, and Public Health Nurse. The Data Analyst and Assessment Coordinator has been retained. 4/2/2025 All positions have been retained except environmental specialist, shared on NVhealthforce.org to help fill those postions."/>
    <x v="1"/>
    <n v="3700000"/>
    <m/>
    <n v="3700000"/>
    <n v="503392.51"/>
    <n v="50661.25"/>
    <n v="554053.76"/>
    <n v="0.14974425945945946"/>
    <n v="0"/>
    <n v="3700000"/>
    <n v="0"/>
    <n v="0"/>
    <s v="Budget Request"/>
    <s v="N/A"/>
    <s v="N/A"/>
    <s v="No"/>
    <x v="1"/>
    <x v="1"/>
  </r>
  <r>
    <x v="3"/>
    <s v="23LRHA01c"/>
    <s v="Local &amp; Regional Authorities Churchill"/>
    <s v="3223/34"/>
    <d v="2022-08-17T00:00:00"/>
    <d v="2026-12-31T00:00:00"/>
    <n v="1597"/>
    <n v="0.63118346900438327"/>
    <n v="1600000"/>
    <n v="0"/>
    <n v="0"/>
    <n v="1600000"/>
    <n v="1600000"/>
    <n v="0"/>
    <n v="1600000"/>
    <s v="23FRF32232"/>
    <s v="Central Nevada Health District formation and Satellite Public Health Laboratory"/>
    <s v="Central Nevada Health District will facilitate construction activities to establish a new building that will house a satellite public health laboratory, and provide public health services to residents in central Nevada."/>
    <s v="These investments will better allow each public health agency to continue to support the COVID response and recovery and position themselves to be better equipped to handle other public health needs in the coming years."/>
    <s v="The remaining $600k (37.62% of funds) is for remodeling of the new CNHD facility. Architect is drawing remodel plans and obtaining engineering evaluation. Approximately 95% of the architectural drawings are completed.  Expenses are planned to resume April/May 2024 once architect has completed work. CCSS goal is building will be completed in next 12 months. A quarterly spend-plan has been requested and will receive monthly updates starting April 2024. 10/5/2024: In August 2024 CNHD Administrator provided feedback on drawings. Architects met with City of Fallon on requirements and permitting to be included. TOPO Surveying as required for project, engaged contractor for asbestos testing, scheduled opening of walls for architect to complete structural inspection on 8/15/24 with architects. Rehabilitation and timelines for lab have been complete and an updated testing menu has been determined. SOW will be updated to reflect CCSS and CNHD co-location upon GFO approval. 4/2/2025 Recent request to GFO to update the Scope.Proceed with the colocation of the Central Nevada Health District (CNHD) and the Public Health Laboratory. Ensure relocation of Churchill County Social Services from the site proposed for the CNHD/lab by acquiring buildings in another location. "/>
    <x v="0"/>
    <n v="1600000"/>
    <m/>
    <n v="1600000"/>
    <n v="1218144.74"/>
    <n v="2870.7"/>
    <n v="1221015.44"/>
    <n v="0.76313464999999991"/>
    <n v="0"/>
    <n v="1600000"/>
    <n v="0"/>
    <n v="0"/>
    <s v="Budget Request"/>
    <s v="N/A"/>
    <s v="N/A"/>
    <s v="Yes"/>
    <x v="1"/>
    <x v="0"/>
  </r>
  <r>
    <x v="3"/>
    <s v="23LRHA01d"/>
    <s v="Local &amp; Regional Authorities SNHD"/>
    <s v="3223/34"/>
    <d v="2022-08-17T00:00:00"/>
    <d v="2026-12-31T00:00:00"/>
    <n v="1597"/>
    <n v="1"/>
    <n v="5500000"/>
    <n v="0"/>
    <n v="0"/>
    <n v="5500000"/>
    <n v="5500000"/>
    <n v="0"/>
    <n v="5500000"/>
    <s v="23FRF32232"/>
    <s v="Southern Nevada Health District staff and operations reimbursement"/>
    <s v="This funding will be used to cover 12-months of revenue to support the staff salary and fringe to offer environmental health services in Clark County."/>
    <s v="These investments will better allow each public health agency to continue to support the COVID response and recovery and position themselves to be better equipped to handle other public health needs in the coming years."/>
    <s v="Complete; fully expended."/>
    <x v="2"/>
    <n v="5500000"/>
    <m/>
    <n v="5500000"/>
    <n v="5446133.7300000004"/>
    <m/>
    <n v="5446133.7300000004"/>
    <n v="0.99020613272727276"/>
    <m/>
    <n v="5500000"/>
    <n v="0"/>
    <n v="0"/>
    <s v="Budget Request"/>
    <s v="N/A"/>
    <s v="N/A"/>
    <s v="No"/>
    <x v="2"/>
    <x v="1"/>
  </r>
  <r>
    <x v="4"/>
    <s v="22ELYCP01"/>
    <s v="CRG - Ely Co-op Magic Carpet Preschool"/>
    <n v="3267"/>
    <d v="2022-04-07T00:00:00"/>
    <d v="2024-02-29T00:00:00"/>
    <n v="693"/>
    <n v="1"/>
    <n v="44280"/>
    <n v="0"/>
    <n v="0"/>
    <n v="44280"/>
    <n v="44280"/>
    <n v="0"/>
    <n v="44280"/>
    <s v="23FRF32232"/>
    <s v="The ARPA award will be sub-awarded to the Ely Co-Op Preschool (aka, Magic Carpet Preschool) to perform all work/services. Magic Carpet Preschool is the only licensed preschool in the area that is not income based and meets a critical need for local families. This funding will facilitate the provision of child care services to up to 48 students ages 2.5 - 6 years, from all ethnic backgrounds, including the Ely Shoshone tribe. "/>
    <s v="This request supports the Governor's objective of improving child care across Nevada. The objective is to help the Magic Carpet Preschool, which is situated in a very rural area of Nevada, so the facility can increase enrollment from 35 to their licensed capacity of 48 students. "/>
    <s v="DWSS Child Care and Development Program completed an on-site monitor of the Ely subaward in June 2024 to ensure compliance with the project scope of work and to ensure it met the intent of the awarded funds."/>
    <s v="Ely Co-op Magic Carpet Preschool has utilized their full award."/>
    <x v="2"/>
    <n v="44280"/>
    <m/>
    <n v="44280"/>
    <n v="44280"/>
    <n v="0"/>
    <n v="44280"/>
    <n v="1"/>
    <n v="0"/>
    <n v="44280"/>
    <n v="0"/>
    <n v="0"/>
    <s v="One Time Funding"/>
    <n v="0"/>
    <n v="0"/>
    <s v="No"/>
    <x v="1"/>
    <x v="5"/>
  </r>
  <r>
    <x v="4"/>
    <s v="23CHDIF01"/>
    <s v="Childcare Infrastructure Grants"/>
    <n v="3267"/>
    <d v="2022-05-05T00:00:00"/>
    <d v="2026-12-31T00:00:00"/>
    <n v="1701"/>
    <n v="0.65373309817754266"/>
    <n v="30000000"/>
    <n v="0"/>
    <n v="0"/>
    <n v="30000000"/>
    <n v="30000000"/>
    <n v="0"/>
    <n v="30000000"/>
    <s v="22FRF32671"/>
    <s v="Child Care emerged as one of the top priorities for Nevadans during recovery from the public health emergency (PHE) in order to get people back to work. There is only enough capacity to serve approximately 14% of the estimated number of children needing care. Approximately 342,995 of the estimated 390,155 children in Nevada who are 11 years old or younger may be in need of child care. There are only 47,160 seats estimated available today."/>
    <s v="To assist child care providers with the ability to expand their capacity to serve additional children by expanding existing facilities or building new facilities"/>
    <s v="DWSS is working with the Governor's Finance Office, the Department of Health and Human Services, and an external contractor which specializes in federal construction/capital procurement regulations, enforcement, and associated evaluation of expenditures and activities."/>
    <s v="5 Facilities are completed projects and currently open and serving children;_x000a_13 Facilities are ongoing projects at various levels of completion;_x000a_1 project, Little Hands Learning Center terminated 11/15/2024. These funds were re-allocated to Children’s Learn and Play. The Division is closely monitoring activity for all 18 childcare providers and is on track to spend down this award on time."/>
    <x v="5"/>
    <n v="30000000"/>
    <m/>
    <n v="30000000"/>
    <n v="23890436.219999999"/>
    <n v="254002.6"/>
    <n v="24144438.82"/>
    <n v="0.80481462733333331"/>
    <n v="0"/>
    <n v="30000000"/>
    <n v="0"/>
    <n v="0"/>
    <s v="One Time Funding"/>
    <n v="0"/>
    <n v="0"/>
    <s v="Yes"/>
    <x v="0"/>
    <x v="5"/>
  </r>
  <r>
    <x v="4"/>
    <s v="23CHDSB01"/>
    <s v="Childcare Subsidy Grants"/>
    <n v="3267"/>
    <d v="2022-06-01T00:00:00"/>
    <d v="2026-12-31T00:00:00"/>
    <n v="1674"/>
    <n v="1"/>
    <n v="50000000"/>
    <n v="0"/>
    <n v="0"/>
    <n v="50000000"/>
    <n v="50000000"/>
    <n v="0"/>
    <n v="50000000"/>
    <s v="22FRF32671"/>
    <s v="The proposal is to use this $50 million so all subsidy-eligible households can receive 100% subsidy coverage with the ARPA FRF paying for the required copay portion for each eligible family. Child care subsidy is available for eligible children ages 0-12 years. Funds will be sub-awarded to Nevada's Child Care Resource and Referral agencies currently performing eligibility and subsidy application processing on behalf of the state. The average estimated subsidized cost of child care is $13,931 per year per child for full-time care and that does not include the amount a household is required to pay as a copayment (averaged at $5,066 per year per child). Estimates are based on an average household of four (4) people with an annual income of $72,378. Current average caseload for the subsidy program is 6,480 children."/>
    <s v="DWSS was able to provide co-payments to approximately 14,500 children for 13 months. "/>
    <s v="This project is connected to families receiving federal child care subsidy assistance which has an income limit for those families making up to 85% of the state's median income for their household size. This naturally ensures the funds are being used to serve those most impacted by the Pandemic and ongoing economic recovery which is stalled due to the need for more child care. "/>
    <s v="DWSS has fully expended available co-payment funds. "/>
    <x v="2"/>
    <n v="50000000"/>
    <m/>
    <n v="50000000"/>
    <n v="49771482.670000002"/>
    <n v="0"/>
    <n v="49771482.670000002"/>
    <n v="0.9954296534"/>
    <n v="0"/>
    <n v="50000000"/>
    <n v="0"/>
    <n v="0"/>
    <s v="One Time Funding"/>
    <n v="0"/>
    <n v="0"/>
    <s v="No"/>
    <x v="0"/>
    <x v="5"/>
  </r>
  <r>
    <x v="4"/>
    <s v="22MEDEX01"/>
    <s v="MEDICAID ELIGIBILITY SYSTEM MOD'S (EX-PARTE)"/>
    <n v="3228"/>
    <d v="2022-04-08T00:00:00"/>
    <d v="2023-10-31T00:00:00"/>
    <n v="571"/>
    <n v="1"/>
    <n v="3960000"/>
    <n v="0"/>
    <n v="0"/>
    <n v="3960000"/>
    <n v="3960000"/>
    <n v="0"/>
    <n v="3960000"/>
    <s v="22FRF32281"/>
    <s v="The project includes modifying the current Medicaid renewal process to support ex-part renewal, also known as, auto renewal, passive renewal or administrative renewal."/>
    <s v="N/A"/>
    <s v="N/A"/>
    <s v="Done"/>
    <x v="2"/>
    <n v="3960000"/>
    <m/>
    <n v="3960000"/>
    <n v="3960000"/>
    <n v="0"/>
    <n v="3960000"/>
    <n v="1"/>
    <n v="0"/>
    <n v="3960000"/>
    <n v="0"/>
    <n v="0"/>
    <s v="One Time Funding"/>
    <n v="0"/>
    <n v="0"/>
    <s v="No"/>
    <x v="0"/>
    <x v="0"/>
  </r>
  <r>
    <x v="4"/>
    <s v="23ACNVM01"/>
    <s v="ACCESS NEVADA MODERNIZATION - NWD"/>
    <n v="3228"/>
    <d v="2022-10-20T00:00:00"/>
    <d v="2026-12-31T00:00:00"/>
    <n v="1533"/>
    <n v="0.61578604044357466"/>
    <n v="3112296"/>
    <n v="9387704"/>
    <n v="0"/>
    <n v="12500000"/>
    <n v="12500000"/>
    <n v="0"/>
    <n v="12500000"/>
    <s v="23FRF32284"/>
    <s v="This project provides modernization to the legacy Access Nevada on-premises infrastructure to a cloud-based solution that will result in a single web portal platform for the No Wrong Door (NWD) solution. The NWD solution is envisioned to embrace the “no wrong door” approach by providing the Department of Health and Human Services (DHHS) clientele, across all five (5) divisions, a single web portal to apply for assistance, as well as view case information and self-report demographic and life events changes. The portal, housed within the Division of Welfare and Supportive Services (DWSS), will allow an individual to complete a short pre-screener questionnaire to discover what services may be available, apply for specific programs and automatically route the applicant’s case information to the appropriate DHHS agency office(s) where the appropriate Division program staff will provide eligibility determinations or other appropriate services and supports."/>
    <s v="N/A"/>
    <s v="N/A"/>
    <s v="EP-10126- No Wrong Door project status is Green: We are currently 75% complete. Activies included a completed communication campaign sucessfully going live with the project on 2/3/2025. 26 defects were successfully fixed over this past month in preparation for February Go Live for DCFS, DWSS, ADSD, DPBH. The currently deliverable schedule with Deloitte is committed from 2/1/2025-6/30/2026 to address Maintenance and Operations requests to further stablize and update the Access Nevada Live system.  Lastly, language translation requests are being considered to update to six additional languaged to align with additional improved access and support limited english proficency requests."/>
    <x v="7"/>
    <n v="12500000"/>
    <m/>
    <n v="12500000"/>
    <n v="6071569.21"/>
    <n v="274764.08"/>
    <n v="6346333.29"/>
    <n v="0.50770666320000002"/>
    <n v="0"/>
    <n v="12500000"/>
    <n v="0"/>
    <n v="0"/>
    <s v="One Time Funding for Development and Maintenance &amp; Operation is a Budget Request"/>
    <n v="0"/>
    <n v="0"/>
    <s v="No"/>
    <x v="0"/>
    <x v="0"/>
  </r>
  <r>
    <x v="4"/>
    <s v="23NOMAD01a"/>
    <s v="NOMADS UPDATE - CONTRACTS - MAINFRAME MODERNIZATION"/>
    <n v="3228"/>
    <d v="2022-10-20T00:00:00"/>
    <d v="2026-12-31T00:00:00"/>
    <n v="1533"/>
    <n v="0.61578604044357466"/>
    <n v="17309680"/>
    <n v="31200648"/>
    <n v="0"/>
    <n v="48510328"/>
    <n v="48510328"/>
    <n v="0"/>
    <n v="48510328"/>
    <s v="23FRF32281"/>
    <s v="NOMADS application currently has many components on the State's mainframe hardware. This project will remove the remaining 25-year-old NOMADS components from the mainframe and place them on DWSS's modern platforms using modern program languages. This modernization will allow DWSS to be more agile and responsive to the critical needs of our customers."/>
    <s v="N/A"/>
    <s v="N/A"/>
    <s v="Project Update: EP-10149- Mainframe Modernization- Status is Green. Project Deliverable schedule for Deloitte 3/10/2023-6/22/2026 is on track. Currently we are resolving defects in Phase I Maintenance and Operation.  Phase II is in Development. SIT and UAT Environment are being prepared for Phase II. UAT planned to start September 2025.  These activities will result in a $7,239,952.80 through 10/17/2025. All planned expenses related to this contract our on track. Planned production is scheduled for January 2026. Phase III is scheduled to start looking at decommissioning of NOMADS scheduled to be addressed June 2026."/>
    <x v="8"/>
    <n v="48510328"/>
    <m/>
    <n v="48510328"/>
    <n v="17982456.799999997"/>
    <n v="910201.15"/>
    <n v="18892657.949999996"/>
    <n v="0.38945640503605738"/>
    <n v="0"/>
    <n v="48510328"/>
    <n v="0"/>
    <n v="0"/>
    <s v="One Time Funding for Development and Maintenance &amp; Operation is a Budget Request"/>
    <n v="0"/>
    <n v="0"/>
    <s v="No"/>
    <x v="0"/>
    <x v="0"/>
  </r>
  <r>
    <x v="4"/>
    <s v="23YTHHM01"/>
    <s v="YOUTH HOMELESSNESS STUDY"/>
    <n v="3233"/>
    <d v="2022-10-20T00:00:00"/>
    <d v="2024-10-19T00:00:00"/>
    <n v="730"/>
    <n v="1.2931506849315069"/>
    <n v="500000"/>
    <n v="0"/>
    <n v="0"/>
    <n v="500000"/>
    <n v="500000"/>
    <n v="0"/>
    <n v="500000"/>
    <s v="23FRF32331"/>
    <s v="The funding request for $500,000 ( $250,000 per year for two years) will cover the cost of researchers, incentives and research tools to conduct a statewide one-time study on youth homelessness which will explicitly include LGBTQ+ youth. The study will be designed to understand the prevalence, characteristics and intervention needs of youth experiencing homelessness, the current system supports and financial structure, and the system gaps that need to be addressed to better serve Nevada’s youth. The need to serve Nevada’s youth experiencing homelessness was highlighted by the pandemic as issues facing these youth were increased and services available were more difficult to access."/>
    <s v="N/A"/>
    <s v="N/A"/>
    <s v="It is anticipated that the entire amount will be expended. The new service agreement (1/1/2024-06/30/2025) was approved at BOE in February. The Homeless Youth Study project is completing key activities timely and in accordance with the scope of work. Currently, the project is on track to be completed by the end of the new service agreement (06/30/2025). The core team, steering committee, study design committee have been established and are meeting on a regular basis. A website was developed and launched. The environmental scan and study design has been finalized. The initial site visits and Preliminary Statewide System Map with county profiles have been completed. The final data collection took place in early 2025 and the draft of the final report was submitted at the end of March 2025 for review."/>
    <x v="5"/>
    <n v="500000"/>
    <m/>
    <n v="500000"/>
    <n v="436581.43"/>
    <n v="16075.25"/>
    <n v="452656.68"/>
    <n v="0.90531335999999996"/>
    <n v="0"/>
    <n v="500000"/>
    <n v="0"/>
    <n v="0"/>
    <s v="One Time Funding"/>
    <n v="0"/>
    <n v="0"/>
    <s v="No"/>
    <x v="0"/>
    <x v="3"/>
  </r>
  <r>
    <x v="5"/>
    <s v="22CCCWF01"/>
    <s v="Clark County Child Welfare Higher Level of Care"/>
    <n v="3142"/>
    <d v="2021-12-21T00:00:00"/>
    <d v="2024-06-30T00:00:00"/>
    <n v="922"/>
    <n v="1"/>
    <n v="1971000"/>
    <n v="0"/>
    <n v="0"/>
    <n v="1971000"/>
    <n v="1971000"/>
    <n v="0"/>
    <n v="1971000"/>
    <s v="22FRF31421"/>
    <s v="Funds six (6) beds in an intermediate care facility for children and youth with autism or intellectual and developmental delays who have behavioral needs such that they cannot be safely cared for in the community."/>
    <s v="Funds six (6) beds in an intermediate care facility for children and youth with autism or intellectual and developmental delays who have behavioral needs such that they cannot be safely cared for in the community."/>
    <s v="As a result of reduction or elimination of in-home services and other community based services due to the pandemic, many children are now experiencing significant behavioral health issues, which has created an increased need for residential services tailored specifically to this population."/>
    <s v="Clark County has successfully completed this project and provided residential services for children and youth in need of behavioral and mental health services. "/>
    <x v="2"/>
    <n v="1971000"/>
    <n v="0"/>
    <n v="1971000"/>
    <n v="1971000"/>
    <n v="0"/>
    <n v="1971000"/>
    <n v="1"/>
    <n v="0"/>
    <n v="1971000"/>
    <n v="0"/>
    <n v="0"/>
    <s v="One Time Funding"/>
    <n v="65"/>
    <s v="N/A"/>
    <s v="No"/>
    <x v="2"/>
    <x v="4"/>
  </r>
  <r>
    <x v="5"/>
    <s v="22DSWHD01"/>
    <s v="DCFS - DESERT WILLOW HARDENING - Amendment #2 extended the end date from 12/31/2024 to 6/30/2025      - Amendment  #3 extended the end date from 6/30/25 to 12/31/2026"/>
    <n v="3646"/>
    <d v="2022-04-08T00:00:00"/>
    <d v="2026-12-31T00:00:00"/>
    <n v="1728"/>
    <n v="0.65914351851851849"/>
    <n v="916718"/>
    <n v="0"/>
    <n v="0"/>
    <n v="916718"/>
    <n v="916718"/>
    <n v="0"/>
    <n v="916718"/>
    <s v="22FRF36462"/>
    <s v="Hardening of one 12-bed unit at the facility to provide a secure space within the facility.  Public Works awarded a contract to Builders United to complete this project, with a projected completion date of February 2025.   SPWD Contract No. 116062"/>
    <s v="The hardening of the facility will provide a space within the facility capable of providing secure mental health treatment as these youth are often rejected at privately-operated facilities and can languish in emergency rooms or juvenile detention. "/>
    <s v="Throughout the COVID-19 pandemic the facility has experienced an increase of referrals for youth experiencing mental health needs coupled with highly aggressive behavior."/>
    <s v=" 22DSWHD01a below combined with this project - Notice to Proceed to by the State Public Works Division was issued to selected contractor  Builders United, LLC, per the State Public Works Contract 116062 - $4,087,251.  As of 10/30/24, per Public Works the contract with Builders United is being terminated.  Public Works is moving forward with  the anti-ligature project as well as where each portion of the anti-ligature and HVAC replacement project for a new contract to finish the project. In Area A of Desert Willow, the classroom work  has been completed for both anti-ligature and HVAC,  In area E of the building the HVAC work has been completed.   In area D - no work has started.  In Area C restrooms have been demolished.  Area B needs a few fan coils installed."/>
    <x v="1"/>
    <n v="916718"/>
    <n v="0"/>
    <n v="916718"/>
    <n v="327190.58999999997"/>
    <n v="1687.05"/>
    <n v="328877.63999999996"/>
    <n v="0.35875551696377728"/>
    <n v="0"/>
    <n v="916718"/>
    <n v="0"/>
    <n v="0"/>
    <s v="One Time Funding - Balance may be used for change orders"/>
    <s v="N/A"/>
    <s v="N/A"/>
    <s v="Yes"/>
    <x v="2"/>
    <x v="0"/>
  </r>
  <r>
    <x v="5"/>
    <s v="22DSWHD01a"/>
    <s v="DCFS - DESERT WILLOW HARDENING - Amendment #1 extended the end date from 06/30/2024 to 6/30/2025   -Amendment #2 extended the end date from 6/30/25 to 12/31/2026"/>
    <n v="3646"/>
    <d v="2022-08-08T00:00:00"/>
    <d v="2025-06-30T00:00:00"/>
    <n v="1057"/>
    <n v="0.96215704824976345"/>
    <n v="5072061"/>
    <n v="0"/>
    <n v="0"/>
    <n v="5072061"/>
    <n v="5072061"/>
    <n v="0"/>
    <n v="5072061"/>
    <s v="23FRF36463"/>
    <s v="SEE ABOVE -  ARPA Allocation 22DSWHD01 &amp; 22DSWHD01a combined funding for the same project."/>
    <s v="SEE ABOVE -  ARPA Allocation 22DSWHD01 &amp; 22DSWHD01a combined funding for the same project."/>
    <s v="SEE ABOVE -  ARPA Allocation 22DSWHD01 &amp; 22DSWHD01a combined funding for the same project."/>
    <s v=" 22DSWHD01 above combined with this project - See above project 22DSWHD01a for project status"/>
    <x v="1"/>
    <n v="4176131.43"/>
    <n v="0"/>
    <n v="4176131.43"/>
    <n v="1804986.8299999998"/>
    <n v="5308.26"/>
    <n v="1810295.0899999999"/>
    <n v="0.35691508639190261"/>
    <n v="0"/>
    <n v="5072061"/>
    <n v="0"/>
    <n v="895929.56999999983"/>
    <s v="One Time Funding - Balance may be used for change orders"/>
    <s v="N/A"/>
    <s v="N/A"/>
    <s v="Yes"/>
    <x v="2"/>
    <x v="0"/>
  </r>
  <r>
    <x v="5"/>
    <s v="22MBCRS01a"/>
    <s v="DCFS - CHILDREN'S MENTAL HEALTH MOBILE CRISIS RESPONSE (Surge Capacity) - NNCAS"/>
    <n v="3281"/>
    <d v="2021-12-09T00:00:00"/>
    <d v="2025-06-30T00:00:00"/>
    <n v="1299"/>
    <n v="1"/>
    <n v="275909"/>
    <n v="-232558.65"/>
    <m/>
    <n v="43350.350000000006"/>
    <n v="43350.35"/>
    <n v="0"/>
    <n v="275909"/>
    <s v="22FRF32811"/>
    <s v="Fund mobile crisis expansion due to sustained growth in service utilization, partly with increase in distress, isolation, and hardship related to COVID-19.  "/>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100 % Expended"/>
    <x v="2"/>
    <n v="43350.35"/>
    <n v="0"/>
    <n v="43350.35"/>
    <n v="43350.35"/>
    <n v="0"/>
    <n v="43350.35"/>
    <n v="0.15711828900108368"/>
    <n v="-232558.65"/>
    <n v="43350.350000000006"/>
    <n v="0"/>
    <n v="0"/>
    <s v="One Time Funding"/>
    <s v="N/A"/>
    <s v="N/A"/>
    <s v="No"/>
    <x v="3"/>
    <x v="4"/>
  </r>
  <r>
    <x v="5"/>
    <s v="22MBCRS01b"/>
    <s v="SB 461 - CHILDREN'S MENTAL HEALTH MOBILE CRISIS RESPONSE (Surge Capacity) - SNCAS"/>
    <n v="3646"/>
    <d v="2021-12-09T00:00:00"/>
    <d v="2022-06-30T00:00:00"/>
    <n v="203"/>
    <n v="1"/>
    <n v="387386"/>
    <n v="-237066.34"/>
    <n v="0"/>
    <n v="150319.66"/>
    <n v="150319.66"/>
    <n v="0"/>
    <n v="387386"/>
    <s v="22FRF36461"/>
    <s v="Fund mobile crisis expansion due to sustained growth in service utilization, partly with increase in distress, isolation, and hardship related to COVID-19.  "/>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 100% Expended"/>
    <x v="2"/>
    <n v="150319.66"/>
    <n v="0"/>
    <n v="150319.66"/>
    <n v="150319.66"/>
    <n v="0"/>
    <n v="150319.66"/>
    <n v="0.38803586087261804"/>
    <n v="-237066.34"/>
    <n v="150319.66"/>
    <n v="0"/>
    <n v="0"/>
    <s v="One Time Funding"/>
    <s v="N/A"/>
    <s v="N/A"/>
    <s v="No"/>
    <x v="2"/>
    <x v="1"/>
  </r>
  <r>
    <x v="5"/>
    <s v="22MBCRS01c"/>
    <s v="DCFS - CHILDREN'S MENTAL HEALTH MOBILE CRISIS RESPONSE (Surge Capacity) - NNCAS"/>
    <n v="3281"/>
    <d v="2022-07-01T00:00:00"/>
    <d v="2024-06-30T00:00:00"/>
    <n v="730"/>
    <n v="1"/>
    <n v="316849"/>
    <n v="0"/>
    <n v="0"/>
    <n v="316849"/>
    <n v="316849"/>
    <n v="0"/>
    <n v="316849"/>
    <s v="23FRF32811"/>
    <s v="Fund mobile crisis expansion due to sustained growth in service utilization, partly with increase in distress, isolation, and hardship related to COVID-19.  "/>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 100% Expended"/>
    <x v="2"/>
    <n v="316849"/>
    <n v="0"/>
    <n v="316849"/>
    <n v="316849"/>
    <m/>
    <n v="316849"/>
    <n v="1"/>
    <m/>
    <n v="316849"/>
    <n v="0"/>
    <n v="0"/>
    <s v="One Time Funding"/>
    <s v="N/A"/>
    <s v="N/A"/>
    <s v="No"/>
    <x v="3"/>
    <x v="1"/>
  </r>
  <r>
    <x v="5"/>
    <s v="22MBCRS01d"/>
    <s v="DCFS -  CHILDREN'S MENTAL HEALTH MOBILE CRISIS RESPONSE (Surge Capacity) - SNCAS"/>
    <n v="3646"/>
    <d v="2023-07-01T00:00:00"/>
    <d v="2024-06-30T00:00:00"/>
    <n v="365"/>
    <n v="1"/>
    <n v="444866"/>
    <n v="-3101.92"/>
    <n v="0"/>
    <n v="441764.08"/>
    <n v="441764.08"/>
    <n v="0"/>
    <n v="444866"/>
    <s v="23FRF36461"/>
    <s v="Fund mobile crisis expansion due to sustained growth in service utilization, partly with increase in distress, isolation, and hardship related to COVID-19.  "/>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 100% Expended"/>
    <x v="2"/>
    <n v="441764.08"/>
    <n v="0"/>
    <n v="441764.08"/>
    <n v="441764.08"/>
    <n v="0"/>
    <n v="441764.08"/>
    <n v="0.99302729361200903"/>
    <n v="-3101.92"/>
    <n v="441764.08"/>
    <n v="0"/>
    <n v="0"/>
    <s v="One Time Funding"/>
    <s v="N/A"/>
    <s v="N/A"/>
    <s v="No"/>
    <x v="2"/>
    <x v="1"/>
  </r>
  <r>
    <x v="5"/>
    <s v="22SFNST01"/>
    <s v="Safe Nest - Temporary Assistance for Domestic Crisis  under the Community Recovery Grant"/>
    <n v="3145"/>
    <d v="2022-07-01T00:00:00"/>
    <d v="2024-06-30T00:00:00"/>
    <n v="730"/>
    <n v="1"/>
    <n v="100000"/>
    <n v="0"/>
    <n v="0"/>
    <n v="100000"/>
    <n v="100000"/>
    <n v="0"/>
    <n v="100000"/>
    <s v="22FRF31452"/>
    <s v="Provide therapy services to children and adult victims."/>
    <s v="This addition will allow the sub awardee, Safe Nest, to hire contract therapist hours needed to clear the waitlist for victim and children counseling, allowing the provision of an additional 1,600-1,800 counseling sessions in 2022."/>
    <s v="This addition will allow the sub awardee, Safe Nest, to hire contract therapist hours needed to clear the waitlist for victim and children counseling, allowing the provision of an additional 1,600-1,800 counseling sessions in 2022."/>
    <s v=" 100% Expended. Safe Nest has successfully provided therapy and counseling to 1,718 child and adult victims of domestic violence. "/>
    <x v="2"/>
    <n v="100000"/>
    <n v="0"/>
    <n v="100000"/>
    <n v="100000"/>
    <n v="0"/>
    <n v="100000"/>
    <n v="1"/>
    <n v="0"/>
    <n v="100000"/>
    <n v="0"/>
    <n v="0"/>
    <s v="One Time Funding"/>
    <n v="1718"/>
    <s v="N/A"/>
    <s v="No"/>
    <x v="2"/>
    <x v="3"/>
  </r>
  <r>
    <x v="5"/>
    <s v="22SHDTR01"/>
    <s v="Shade Tree - Community Recovery Grant"/>
    <n v="3145"/>
    <d v="2022-07-01T00:00:00"/>
    <d v="2024-06-30T00:00:00"/>
    <n v="730"/>
    <n v="1"/>
    <n v="506428"/>
    <n v="0"/>
    <n v="0"/>
    <n v="506428"/>
    <n v="506428"/>
    <n v="0"/>
    <n v="506428"/>
    <s v="22FRF31454"/>
    <s v="Launch front line domestic violence crisis response team, provide special dietary needs, and create an infectious diseases preparedness plan."/>
    <s v="During the two years of the COVID-19 pandemic, The Shade Tree continued to provide emergency shelter and vital resources to Southern Nevada. We worked extremely hard to make necessary COVID-19 safety precautions, isolation units, provided testing and vaccinations all while employing staff to provide expert and professional victims’ resources to domestic violence victims, human trafficking victims and those experiencing homelessness. During this time, we saw a rise in domestic violence rates and partnered with LVMPD and partner organizations to address this increase. "/>
    <s v="As our state and southern Nevada community recover from the pandemic, we have planned and propose three strategies at The Shade Tree 1) Job Creation 2) Frontline Crisis Response Team 3) COVID-19 (and other infectious diseases) Preparedness Plan."/>
    <s v=" 100% expended, project has been completed.  The Shade Tree has provided advocacy and services to 901 victims/survivors of domestic violence. In addition, they have improved the health of 1,138 victims/survivors and created 337 safety plans.  "/>
    <x v="2"/>
    <n v="506428"/>
    <n v="0"/>
    <n v="506428"/>
    <n v="506427.98000000004"/>
    <n v="0"/>
    <n v="506427.98000000004"/>
    <n v="0.99999996050771289"/>
    <n v="0"/>
    <n v="506428"/>
    <n v="0"/>
    <n v="0"/>
    <s v="One Time Funding"/>
    <n v="1138"/>
    <s v="N/A"/>
    <s v="No"/>
    <x v="2"/>
    <x v="3"/>
  </r>
  <r>
    <x v="5"/>
    <s v="22SONSM01"/>
    <s v="Special Olympics Strong Minds - Community Recovery Grant  - Amendment#1 extended the end date from 6/13/2025"/>
    <n v="3145"/>
    <d v="2022-07-01T00:00:00"/>
    <d v="2025-06-30T00:00:00"/>
    <n v="1095"/>
    <n v="0.9634703196347032"/>
    <n v="1000000"/>
    <n v="0"/>
    <n v="0"/>
    <n v="1000000"/>
    <n v="1000000"/>
    <n v="0"/>
    <n v="1000000"/>
    <s v="22FRF31453"/>
    <s v="For students to participate in the  &quot;Strong Mind&quot; program, an interactive learning activity focused on developing adaptive coping skills to prevent self-harm."/>
    <s v="The COVID-19 pandemic has been shown to have had negative impacts on the mental health of students in Nevada. SONV intends to support the state in addressing the critical mental health issues. "/>
    <s v="Interactive learning activity focused on developing adaptive coping skills. "/>
    <s v="An extension thru 6/30/202 was approved by the GFO ARPA Team . Agency encountered delays in getting the part-time/intern support but have identified two candidates and have travel planned for a couple of Northern NV events in the next couple of months. To date, Special Olympics has implemented the Strong Minds curriculum in 15 schools and 1 community organization. "/>
    <x v="0"/>
    <n v="1000000"/>
    <n v="0"/>
    <n v="1000000"/>
    <n v="592195.30999999994"/>
    <n v="0"/>
    <n v="592195.30999999994"/>
    <n v="0.59219530999999992"/>
    <n v="0"/>
    <n v="1000000"/>
    <n v="0"/>
    <n v="0"/>
    <s v="One Time Funding"/>
    <n v="57579"/>
    <s v="N/A"/>
    <s v="No"/>
    <x v="0"/>
    <x v="4"/>
  </r>
  <r>
    <x v="5"/>
    <s v="22VOCSP01"/>
    <s v="VICTIMS OF CRIME SERVICE PROVIDERS  - Amendment #1 extend from date 12/31//2024 to 6/30/2025"/>
    <n v="3145"/>
    <d v="2022-02-10T00:00:00"/>
    <d v="2024-12-31T00:00:00"/>
    <n v="1055"/>
    <n v="1.133649289099526"/>
    <n v="5750000"/>
    <n v="0"/>
    <n v="0"/>
    <n v="5750000"/>
    <n v="5750000"/>
    <n v="0"/>
    <n v="5750000"/>
    <s v="22FRF31451"/>
    <s v="Sub-award to Victims of Crime Service Providers to provide level funding to Victim of Crime Act (VOCA) Assistance grant subrecipients.  "/>
    <s v="VOCA grant funding has decreased significantly over the last three years.  This funding will assist Nevada to maintain victim services across the state. "/>
    <s v="Continue to provide support to victims of crime in Nevada. "/>
    <s v="On target to fully expend the award by 12/31/24. Funding was awarded to 11 agencies to provide advocacy, case management and other services for victims of crime. "/>
    <x v="0"/>
    <n v="5750000"/>
    <n v="0"/>
    <n v="5750000"/>
    <n v="5705271.2299999995"/>
    <n v="17200.22"/>
    <n v="5722471.4499999993"/>
    <n v="0.99521242608695637"/>
    <n v="0"/>
    <n v="5750000"/>
    <n v="0"/>
    <n v="0"/>
    <s v="One Time Funding"/>
    <n v="12680"/>
    <s v="N/A"/>
    <s v="No"/>
    <x v="0"/>
    <x v="3"/>
  </r>
  <r>
    <x v="5"/>
    <s v="22VOCVP01"/>
    <s v="VICTIMS OF CRIME VICTIMS PAYMENTS"/>
    <n v="4895"/>
    <d v="2022-04-08T00:00:00"/>
    <d v="2024-12-31T00:00:00"/>
    <n v="998"/>
    <n v="1"/>
    <n v="1560101"/>
    <n v="0"/>
    <n v="0"/>
    <n v="1560101"/>
    <n v="1560101"/>
    <n v="0"/>
    <n v="1560101"/>
    <s v="22FRF48951"/>
    <s v="Sub-awards to Victims of Crime Program to provide level funding to victims of crime.  "/>
    <s v="VOCA grant funding has decreased significantly over the last three years. Continue to provide support to victims of crime in Nevada."/>
    <s v="Continue to provide support to victims of crime in Nevada. "/>
    <s v="100% Expended"/>
    <x v="2"/>
    <n v="1560101"/>
    <n v="0"/>
    <n v="1560101"/>
    <n v="1560101"/>
    <n v="0"/>
    <n v="1560101"/>
    <n v="1"/>
    <m/>
    <n v="1560101"/>
    <n v="0"/>
    <n v="0"/>
    <s v="One Time Funding"/>
    <n v="514"/>
    <s v="N/A"/>
    <s v="No"/>
    <x v="0"/>
    <x v="3"/>
  </r>
  <r>
    <x v="5"/>
    <s v="23CAPWC01"/>
    <s v="Child Assault Prevention of Washoe County - Elementary Child Abuse Awareness Workshop - Community Recovery Grant"/>
    <n v="3145"/>
    <d v="2022-07-27T00:00:00"/>
    <d v="2025-09-30T00:00:00"/>
    <n v="1161"/>
    <n v="0.8863049095607235"/>
    <n v="250144"/>
    <n v="0"/>
    <m/>
    <n v="250144"/>
    <n v="250144"/>
    <n v="0"/>
    <n v="250144"/>
    <s v="23FRF31452"/>
    <s v="Expansion of the child self-protection workshops into Elko and Mineral County schools. "/>
    <s v="The workshop teaches children how to recognize and get help for abusive situations they may encounter with bullies, strangers, internet predators, social media, and issues with safe/unsafe/ secret touching."/>
    <s v="CPS has reported an increase in reported abuse by 20% since pre-pandemic and expect to see this increase significantly over the next few years."/>
    <s v=" On target to fully expend the award by 09/30/2025. CAP was able to hire and train 3 new workshop facilitators with ARPA funding.  They were also able to reach out more to our rural counties and present workshops in Storey, Lyon and Churchill Counties. During 2023-2024 we were able to present 195 workshops to 3,666 students."/>
    <x v="1"/>
    <n v="250144"/>
    <n v="0"/>
    <n v="250144"/>
    <n v="137445.97"/>
    <n v="8234.27"/>
    <n v="145680.24"/>
    <n v="0.58238550594857363"/>
    <n v="0"/>
    <n v="250144"/>
    <n v="0"/>
    <n v="0"/>
    <s v="One Time Funding"/>
    <n v="7935"/>
    <s v="N/A"/>
    <s v="No"/>
    <x v="1"/>
    <x v="4"/>
  </r>
  <r>
    <x v="5"/>
    <s v="23CBYFS01"/>
    <s v="Community Based, Youth Focused Beh. Health Services - Amendment #1 to extend from date 12/31/24 to 6/30/25"/>
    <n v="3145"/>
    <d v="2022-10-20T00:00:00"/>
    <d v="2024-12-31T00:00:00"/>
    <n v="803"/>
    <n v="1.1755915317559154"/>
    <n v="2600000"/>
    <n v="0"/>
    <n v="0"/>
    <n v="2600000"/>
    <n v="2600000"/>
    <n v="0"/>
    <n v="2600000"/>
    <s v="23FR314520"/>
    <s v="Sub-grants to mental health providers to provide social emotional learning and counselling services statewide."/>
    <s v="Strengthen the foundation of prevention services for Nevada’s youth and will increase access to behavioral health care by building out service delivery mechanisms in places where children and families go every day."/>
    <s v="The current behavioral/mental health workforce shortage crisis exacerbates the potential negative outcomes of a behavioral health need or crisis. This includes negative economic consequences,_x000a_such as increased spending on behavioral health care, expensive 24-hour care interventions, costs of emergency department care, increased use of the child welfare and juvenile justice systems."/>
    <s v="On target to fully expend the award by 12/31/24. Funding was awarded to 5 agencies statewide to provide training and mental health services to youth. "/>
    <x v="0"/>
    <n v="2600000"/>
    <n v="0"/>
    <n v="2600000"/>
    <n v="2425281.8499999996"/>
    <n v="0"/>
    <n v="2425281.8499999996"/>
    <n v="0.93280071153846145"/>
    <n v="0"/>
    <n v="2600000"/>
    <n v="0"/>
    <n v="0"/>
    <s v="One Time Funding"/>
    <n v="5012"/>
    <s v="N/A"/>
    <s v="No"/>
    <x v="0"/>
    <x v="4"/>
  </r>
  <r>
    <x v="5"/>
    <s v="23CFPSP01"/>
    <s v="Certified Family Peer Support Provider/Supervisor Workforce -Amendment #1 De - Obligation of $11463.00"/>
    <n v="3145"/>
    <d v="2022-10-20T00:00:00"/>
    <d v="2025-06-30T00:00:00"/>
    <n v="984"/>
    <n v="0.95934959349593496"/>
    <n v="409400"/>
    <n v="-11463"/>
    <n v="0"/>
    <n v="397937"/>
    <n v="397937"/>
    <n v="0"/>
    <n v="409400"/>
    <s v="23FR314514"/>
    <s v="Sub-grant Nevada PEP to develop a training and certification process in Nevada for Family Peer Support Providers to increase the professional workforce by advancing core competencies."/>
    <s v="A sustainable model will include: an application and family run organization enrollment process, credentialing manual; standardized training curriculum that incorporates nationally recognized core competencies, skill sets and technical assistance. "/>
    <s v="There is a critical need to develop an efficient training and certification program unique to Nevada to increase the certified family peer support provider and supervisor workforce."/>
    <s v="A request for an extension from 6/30/24 to  06/30/25 was approved by GFO on 6/14/24.  In addition, based on an updated spending plan, the subrecipient determined that $11,463 should be de-obligated, which was also approved on 6/14/24.  Work Program 24FR31458T balanced forward the ARPA allocation remaining at the end of SFY 2023 minus the $11,463 to be de-obligated.  The subrecipient indicated the project wasn't full staffed in the first year which is why the funding was not expended at the rate expected. "/>
    <x v="0"/>
    <n v="397937"/>
    <n v="0"/>
    <n v="397937"/>
    <n v="278763.66000000003"/>
    <n v="0"/>
    <n v="278763.66000000003"/>
    <n v="0.68090781631656094"/>
    <n v="-11463"/>
    <n v="397937"/>
    <n v="0"/>
    <n v="0"/>
    <s v="One Time Funding"/>
    <s v="N/A"/>
    <s v="N/A"/>
    <s v="No"/>
    <x v="0"/>
    <x v="1"/>
  </r>
  <r>
    <x v="5"/>
    <s v="23CHINA01"/>
    <s v="China Springs Youth Camp - System of Care Services - Amendment #1 extended from date to 6/20/25"/>
    <n v="3147"/>
    <d v="2022-08-18T00:00:00"/>
    <d v="2025-06-30T00:00:00"/>
    <n v="1047"/>
    <n v="0.96179560649474694"/>
    <n v="686994"/>
    <n v="0"/>
    <n v="0"/>
    <n v="686994"/>
    <n v="686994"/>
    <n v="0"/>
    <n v="686994"/>
    <s v="23FRF31471"/>
    <s v="Services to youth 12-18 and their families in the sixteen counties serviced by the Camp (all Counties except Clark) with substance use and mental health issues to reduce recidivism into the juvenile justice system. Services include teaching of cognitive and problem-solving skills, education and employment skills, group skills, provision of medication monitoring, provision licensed mental health providers to assist in assessments, screenings, and case planning."/>
    <s v="Services to youth 12-18 and their families in the sixteen counties serviced by the Camp (all Counties except Clark) with substance use and mental health issues to reduce recidivism into the juvenile justice system. "/>
    <s v="Services include teaching of cognitive and problem-solving skills, education and employment skills, group skills, provision of medication monitoring, provision licensed mental health providers to assist in assessments, screenings, and case planning."/>
    <s v="Agency will fully expend the award by 06/30/2025. "/>
    <x v="0"/>
    <n v="686994"/>
    <n v="0"/>
    <n v="686994"/>
    <n v="459180.18"/>
    <n v="86569.96"/>
    <n v="545750.14"/>
    <n v="0.79440306611120337"/>
    <n v="0"/>
    <n v="686994"/>
    <n v="0"/>
    <n v="0"/>
    <s v="One Time Funding"/>
    <n v="71"/>
    <s v="N/A"/>
    <s v="No"/>
    <x v="1"/>
    <x v="4"/>
  </r>
  <r>
    <x v="5"/>
    <s v="23CLKCW01"/>
    <s v="Clark County Child Welfare - May need to request an extension"/>
    <n v="3145"/>
    <d v="2022-08-18T00:00:00"/>
    <d v="2026-06-30T00:00:00"/>
    <n v="1412"/>
    <n v="0.71317280453257792"/>
    <n v="4198804"/>
    <n v="0"/>
    <n v="0"/>
    <n v="4198804"/>
    <n v="4198804"/>
    <n v="0"/>
    <n v="4198804"/>
    <s v="23FR314510"/>
    <s v="Clark County Clinical Division with a service array designed to meet youth behavioral, mental, health, intellectual, and developmental needs. This will include community-based assessments and treatment options to promote healthy development, preserve the family unit, continue engagement in education, and maintain the highest levels of funding."/>
    <s v="Clark County Clinical Division with a service array designed to meet youth behavioral, mental, health, intellectual, and developmental needs. "/>
    <s v="Clark County Clinical Division with a service array designed to meet youth behavioral, mental, health, intellectual, and developmental needs. "/>
    <s v="A request for an extension from 06/30/24 to 06/30/26 was approved by the GFO ARPA team on 6/20/24. Per CCDFS, the extension was needed due to delays in filling positions and delays in finalizing the contract with a consultant to assist with setting up the Clinical Division within the county for phase one of this project.  Starting July 1, 2025 Clark County will start hiring the 2nd phase positions to add the direct clinical staff, peer support and secure a medical transportation contract. "/>
    <x v="1"/>
    <n v="4198804"/>
    <n v="0"/>
    <n v="4198804"/>
    <n v="784809.54"/>
    <n v="0"/>
    <n v="784809.54"/>
    <n v="0.18691263988507203"/>
    <n v="0"/>
    <n v="4198804"/>
    <n v="0"/>
    <n v="0"/>
    <s v="One Time Funding"/>
    <n v="0"/>
    <s v="N/A"/>
    <s v="No"/>
    <x v="2"/>
    <x v="4"/>
  </r>
  <r>
    <x v="5"/>
    <s v="23CSHWP01"/>
    <s v="COMMUNITY SCHOOL HEALTH AND WELLNESS PILOT PROGRAM"/>
    <n v="3145"/>
    <d v="2022-10-20T00:00:00"/>
    <d v="2024-12-31T00:00:00"/>
    <n v="803"/>
    <n v="1.1755915317559154"/>
    <n v="535600"/>
    <n v="0"/>
    <n v="0"/>
    <n v="535600"/>
    <n v="535600"/>
    <n v="0"/>
    <n v="535600"/>
    <s v="23FR314515"/>
    <s v="To establish a health and wellness-focused  pilot community schools model on four campuses."/>
    <s v="Identify (a) effective tiered intensification processes needed to develop health and wellness activities on a school campus and (b) effective interventions and programs to address children and family health and well-being variables."/>
    <s v="Provide full-time coordination of community schools activities on the school campuses, staff to implement out-of-school and integrated student support programs to address the health and wellness outcomes of children and families."/>
    <s v="UNLV, School of Medicine requested an extension on the performance period end date from 6/30/2024 to 12/31/2024, that was approved, due to delays in fully hiring  in the fall semester, an extension would allow UNLV to continue to keep program specialists in place to implement programming designed at the beginning for the academic year through the fall semester. UNLV estimates it would spend approximately $144,711.45 to keep the full-time coordinators in place through the fall semester and an additional $37,500-$50,000 for hourly workers (reflected in additional programmatic expenditures). This would allow UNLV  to implement back-to-school immunization fairs, health and wellness_x000a_programming for parents and families, and transition SEL supports over to the school that were planned in the first part of the 2023-2024 academic year to ensure effective programs are continued. . The additional monies would be spent on materials and supplies needed for effective program implementation in the 2024-2025 academic year."/>
    <x v="0"/>
    <n v="535600"/>
    <n v="0"/>
    <n v="535600"/>
    <n v="358215.2"/>
    <n v="0"/>
    <n v="358215.2"/>
    <n v="0.66881105302464527"/>
    <n v="0"/>
    <n v="535600"/>
    <n v="0"/>
    <n v="0"/>
    <s v="One Time Funding"/>
    <n v="0"/>
    <s v="N/A"/>
    <s v="No"/>
    <x v="2"/>
    <x v="4"/>
  </r>
  <r>
    <x v="5"/>
    <s v="23DAYTP01a"/>
    <s v="Day Treatment Program - FY23 -  (PCN 2030-2041- 12 FTE &amp; associated costs).  "/>
    <n v="3281"/>
    <d v="2022-10-20T00:00:00"/>
    <d v="2025-06-30T00:00:00"/>
    <n v="984"/>
    <n v="0.95934959349593496"/>
    <n v="593014"/>
    <n v="-255308"/>
    <m/>
    <n v="337706"/>
    <n v="337706"/>
    <n v="0"/>
    <n v="593014"/>
    <s v="23FRF32814"/>
    <s v="Day Treatment program for children 3-6 years old who are experiencing challenging behaviors,  without any options for the treatment of the child's individualized needs in existing community childcare/early learning programs.   Northern Nevada. FY 23"/>
    <s v="This program will provide EC Day Treatment services regardless of ability to pay and insured status as this EC  Day Treatment is unique and offers an unduplicated community-based program of treatment for children 3-6 years."/>
    <s v="This program will provide EC Day Treatment services regardless of ability to pay and insured status as this EC Day Treatment is unique and offers an unduplicated community-based program of treatment for children 3-6 years."/>
    <s v="Balance is for the playground equipment project.  The contract has been awarded for this project and will be completed by 3/31/25  "/>
    <x v="0"/>
    <n v="337706"/>
    <n v="0"/>
    <n v="337706"/>
    <n v="12705.58"/>
    <n v="0"/>
    <n v="12705.58"/>
    <n v="2.1425430091026518E-2"/>
    <n v="-255308"/>
    <n v="337706"/>
    <n v="0"/>
    <n v="0"/>
    <s v="General Fund &amp; Medicaid starting 7/1/24 - SFY 25"/>
    <s v="N/A"/>
    <s v="N/A"/>
    <s v="No"/>
    <x v="3"/>
    <x v="4"/>
  </r>
  <r>
    <x v="5"/>
    <s v="23DAYTP01b"/>
    <s v="Day Treatment Program - FY24 - (PCN 2030-2041 - 12 FTE, associated cost &amp; playground equipment). Program funded with GF &amp; Medicaid Reimb starting with SFY 2025"/>
    <n v="3281"/>
    <d v="2023-07-01T00:00:00"/>
    <d v="2025-06-30T00:00:00"/>
    <n v="730"/>
    <n v="0.9452054794520548"/>
    <n v="923073"/>
    <n v="-733715"/>
    <m/>
    <n v="189358"/>
    <n v="189358"/>
    <n v="0"/>
    <n v="923073"/>
    <s v="L01 SFY 24"/>
    <s v="Day Treatment program for children 3-6 years old who are experiencing challenging behaviors,  without any options for the treatment of the child's individualized needs in existing community childcare/early learning programs.   Northern Nevada. FY 24"/>
    <s v="This program will provide EC Day Treatment services regardless of ability to pay and insured status as this EC Day Treatment is unique and offers an unduplicated community-based program of treatment for children 3-6 years."/>
    <s v="This program will provide EC Day Treatment services regardless of ability to pay and insured status as this EC Day Treatment is unique and offers an unduplicated community-based program of treatment for children 3-6 years."/>
    <s v="This program will be funded primarily with General Fund Appropriations and a small amount with Medicaid reimbursements as approved in L01 starting with SFY 2025.  Balance will be used in SFY 2025"/>
    <x v="0"/>
    <n v="189358"/>
    <n v="0"/>
    <n v="189358"/>
    <n v="166862.41999999998"/>
    <n v="0"/>
    <n v="166862.41999999998"/>
    <n v="0.18076838993232386"/>
    <n v="-733715"/>
    <n v="189358"/>
    <n v="0"/>
    <n v="0"/>
    <s v="General Fund &amp; Medicaid starting 7/1/24 - SFY 25"/>
    <s v="N/A"/>
    <s v="N/A"/>
    <s v="No"/>
    <x v="3"/>
    <x v="4"/>
  </r>
  <r>
    <x v="5"/>
    <s v="23EDYHS01"/>
    <s v="DCFS - Eddy House - Community Recovering Grant"/>
    <n v="3145"/>
    <d v="2022-07-27T00:00:00"/>
    <d v="2025-09-30T00:00:00"/>
    <n v="1161"/>
    <n v="0.8863049095607235"/>
    <n v="1563117"/>
    <n v="0"/>
    <n v="0"/>
    <n v="1563117"/>
    <n v="1563117"/>
    <n v="0"/>
    <n v="1563117"/>
    <s v="23FRF31453"/>
    <s v="Eddy House will expand programs which will intervene and break the cycle of homelessness and poverty for these youth. Effective intervention and targeted services can prevent homeless youth from becoming chronically homeless adults. "/>
    <s v="Eddy House proposes a Femme, Trans, Women, &amp; Non-Binary Transitional Living Home (FTWTL Home) for approximately six to ten individuals for stays of up to two years to empower women and other vulnerable individuals to achieve independence through a supported residential program"/>
    <s v="The global pandemic amplified the already poor graduation rates, low employment rates, high acuity of mental health needs, high substance abuse, and widespread abuse our Transitional Aged Youth face every day."/>
    <s v="On target to fully expend the award by 9/30/25. The support provided through ARPA has enabled Eddy House to expand and enhance its services and programs, which has led to improved outcomes for homeless and at-risk youth. Case Management for these individuals has improved through increased follow-up and check-in meetings with clients, as well as more thorough exit planning for individuals ready for independent housing. In particular, the residential programs have adjusted the expectations to increase accountability and structure. "/>
    <x v="0"/>
    <n v="1563117"/>
    <n v="0"/>
    <n v="1563117"/>
    <n v="1171989.96"/>
    <n v="0"/>
    <n v="1171989.96"/>
    <n v="0.74977750225990758"/>
    <n v="0"/>
    <n v="1563117"/>
    <n v="0"/>
    <n v="0"/>
    <s v="One Time Funding"/>
    <n v="705"/>
    <s v="N/A"/>
    <s v="No"/>
    <x v="3"/>
    <x v="3"/>
  </r>
  <r>
    <x v="5"/>
    <s v="23EMGCS02"/>
    <s v="EMERGENCY FUNDING FOR CHILD AND FAMILY SERVICES  - Amendment #1 extended from date to 6/30/25"/>
    <n v="3145"/>
    <d v="2023-06-14T00:00:00"/>
    <d v="2025-06-30T00:00:00"/>
    <n v="747"/>
    <n v="0.9464524765729585"/>
    <n v="5000000"/>
    <n v="0"/>
    <n v="0"/>
    <n v="5000000"/>
    <n v="5000000"/>
    <n v="0"/>
    <n v="5000000"/>
    <s v="23FR314521"/>
    <s v="Crisis triage, residential treatment, and inpatient care services, and other currently non-billable services to youth  to ensure medically necessary treatment can be provided to those youth who continue to experience behavioral health crisis."/>
    <s v="Alleviate the urgent need for youth mental health services in Nevada resulting from COVID-19. As reported by the CDC, youth experiencing mental health issues may struggle with school and grades, decision making, and their health. "/>
    <s v="Crisis triage, residential treatment, and inpatient care services, and other currently non-billable services to youth  to ensure medically necessary treatment can be provided to those youth who continue to experience behavioral health crisis."/>
    <s v="Funding has been obligated to 5 different projects. Contracts are in the process of being amended to add additional funding for acute psychiatric hospitalization care. "/>
    <x v="1"/>
    <n v="5000000"/>
    <n v="0"/>
    <n v="5000000"/>
    <n v="1920052.91"/>
    <n v="121280.83"/>
    <n v="2041333.74"/>
    <n v="0.40826674800000001"/>
    <n v="0"/>
    <n v="5000000"/>
    <n v="0"/>
    <n v="0"/>
    <s v="One Time Funding"/>
    <n v="237"/>
    <s v="N/A"/>
    <s v="No"/>
    <x v="0"/>
    <x v="4"/>
  </r>
  <r>
    <x v="5"/>
    <s v="23EMPLR01"/>
    <s v="DCFS - Emergency and Planned Respite -  SFY 23"/>
    <n v="3146"/>
    <d v="2022-08-18T00:00:00"/>
    <d v="2024-06-30T00:00:00"/>
    <n v="682"/>
    <n v="1"/>
    <n v="1430349"/>
    <n v="0"/>
    <n v="-1430349"/>
    <n v="0"/>
    <n v="0"/>
    <n v="0"/>
    <n v="1430349"/>
    <s v="23FRF31457 "/>
    <s v="Respite care service and support to Nevada families. Respite will allow overstretched and stressed caregivers to take a break from caring for youth with high intensity needs. "/>
    <s v="Respite care service and support to Nevada families. Respite will allow overstretched and stressed caregivers to take a break from caring for youth with high intensity needs. "/>
    <s v="Respite care service and support to Nevada families. Respite will allow overstretched and stressed caregivers to take a break from caring for youth with high intensity needs. "/>
    <s v="Contract with Magellan has been fully implemented. Services went live on 02/01/2024. Magellan and DCFS staff are actively working on outreach and referrals. "/>
    <x v="2"/>
    <n v="0"/>
    <n v="0"/>
    <n v="0"/>
    <n v="0"/>
    <n v="0"/>
    <n v="0"/>
    <n v="0"/>
    <n v="-1430349"/>
    <n v="0"/>
    <n v="0"/>
    <n v="0"/>
    <s v="One Time Funding"/>
    <n v="0"/>
    <s v="N/A"/>
    <s v="No"/>
    <x v="0"/>
    <x v="4"/>
  </r>
  <r>
    <x v="5"/>
    <s v="23EMPLR02"/>
    <s v="DCFS - Emergency and Planned Respite -  SFY 24"/>
    <n v="3146"/>
    <d v="2023-07-01T00:00:00"/>
    <d v="2026-12-31T00:00:00"/>
    <n v="1279"/>
    <n v="0.53948397185301011"/>
    <n v="1461385"/>
    <n v="0"/>
    <n v="0"/>
    <n v="1461385"/>
    <n v="1461385"/>
    <n v="0"/>
    <n v="1461385"/>
    <s v=" L01 SFY 24"/>
    <s v="Respite care service and support to Nevada families. Respite will allow overstretched and stressed caregivers to take a break from caring for youth with high intensity needs. "/>
    <s v="Respite care service and support to Nevada families. Respite will allow overstretched and stressed caregivers to take a break from caring for youth with high intensity needs. "/>
    <s v="Respite care service and support to Nevada families. Respite will allow overstretched and stressed caregivers to take a break from caring for youth with high intensity needs. "/>
    <s v="Contract with Magellan has been fully implemented. Services went live on 02/01/2024. Magellan and DCFS staff are actively working on outreach and referrals. "/>
    <x v="1"/>
    <n v="1461385"/>
    <n v="0"/>
    <n v="1461385"/>
    <n v="584688.54"/>
    <n v="491329.63"/>
    <n v="1076018.17"/>
    <n v="0.73630026994939723"/>
    <m/>
    <n v="1461385"/>
    <n v="0"/>
    <n v="0"/>
    <s v="One Time Funding"/>
    <n v="52"/>
    <s v="N/A"/>
    <s v="No"/>
    <x v="0"/>
    <x v="4"/>
  </r>
  <r>
    <x v="5"/>
    <s v="23FTFPS01"/>
    <s v="DCFS - Family to Family Peer Support - Amendments #1 and #2 "/>
    <n v="3146"/>
    <d v="2022-08-18T00:00:00"/>
    <d v="2025-06-30T00:00:00"/>
    <n v="1047"/>
    <n v="0.96179560649474694"/>
    <n v="1957975"/>
    <n v="-49755"/>
    <n v="0"/>
    <n v="1908220"/>
    <n v="1908220"/>
    <n v="0"/>
    <n v="1957975"/>
    <s v="23FRF31456 plus L01 SFY 24 &amp; "/>
    <s v="The Family Peer Support model provides intentional support with specific focus on the parent/primary caregiver of the child. Services are designed to improve the family's capacity to care for or resolve the child/youth's emotional or behavioral needs, by providing a unique set of services that includes emotional, informational, instruction, and advocacy support."/>
    <s v="Services are designed to improve the family's capacity to care for or resolve the child/youth's emotional or behavioral needs, by providing a unique set of services that includes emotional, informational, instruction, and advocacy support."/>
    <s v="Services are designed to improve the family's capacity to care for or resolve the child/youth's emotional or behavioral needs, by providing a unique set of services that includes emotional, informational, instruction, and advocacy support."/>
    <s v=" $8.0 million for the development phase, hardware, software, and licensing. DCFS is requesting a solicitation exemption and going sole source with an existing State contracted vendor (Deloitte) that has implemented child welfare systems for numerous other states on several different vendor solutions and is not participating in the planning phases of the project. The solution will be cloud based and DCFS will maintain the software licenses. Maintaining the licenses provides the greatest flexibility in operations management options. "/>
    <x v="0"/>
    <n v="1908220"/>
    <n v="0"/>
    <n v="1908220"/>
    <n v="862598.1"/>
    <n v="58790.25"/>
    <n v="921388.35"/>
    <n v="0.47058228526921947"/>
    <n v="-49755"/>
    <n v="1908220"/>
    <n v="0"/>
    <n v="0"/>
    <s v="One Time Funding"/>
    <n v="4894"/>
    <s v="N/A"/>
    <s v="No"/>
    <x v="0"/>
    <x v="4"/>
  </r>
  <r>
    <x v="5"/>
    <s v="23IFIHS01"/>
    <s v="DCFS - Intensive Family In Home Services - Extension approved thru 12/31/26 for Magellan Healthcare Contract"/>
    <n v="3146"/>
    <d v="2022-08-18T00:00:00"/>
    <d v="2026-12-31T00:00:00"/>
    <n v="1596"/>
    <n v="0.63095238095238093"/>
    <n v="4905566"/>
    <n v="-29031"/>
    <n v="0"/>
    <n v="4876535"/>
    <n v="4876535"/>
    <n v="0"/>
    <n v="4905566"/>
    <s v="23FRF31455 plus L01 SFY 24 WP 24FRF31461  for de-obligation SFY 24"/>
    <s v="Intensive in-home programs are a highly intensive and specialized community-based option in a full array of services for youth with serious emotional disturbance. Multiple treatment elements are integrated by a team into a single coordinated service."/>
    <s v="Intensive in-home programs are a highly intensive and specialized community-based option in a full array of services for youth with serious emotional disturbance. Multiple treatment elements are integrated by a team into a single coordinated service."/>
    <s v="Intensive in-home programs are a highly intensive and specialized community-based option in a full array of services for youth with serious emotional disturbance. Multiple treatment elements are integrated by a team into a single coordinated service."/>
    <s v="Contract with Magellan has been fully implemented. Services went live on 02/01/2024. Magellan and DCFS staff are actively working on outreach and referrals.  October 2024 was adjusted to reconcile to SFY 2024 RFR plus YTD expenses in SFY 25 through 10/31/24.  Salaries and employee drive cost from Cat 04 &amp; 26 from SFY 24 was not included previously."/>
    <x v="1"/>
    <n v="4876535"/>
    <n v="0"/>
    <n v="4876535"/>
    <n v="1044497.0900000001"/>
    <n v="580854.12"/>
    <n v="1625351.21"/>
    <n v="0.33132796704804296"/>
    <n v="-29031"/>
    <n v="4876535"/>
    <n v="0"/>
    <n v="0"/>
    <s v="One Time Funding"/>
    <n v="17"/>
    <s v="N/A"/>
    <s v="No"/>
    <x v="0"/>
    <x v="4"/>
  </r>
  <r>
    <x v="5"/>
    <s v="23INLVY01"/>
    <s v="INDEPENDENT LIVING YOUTH"/>
    <n v="3145"/>
    <d v="2022-10-20T00:00:00"/>
    <d v="2023-12-31T00:00:00"/>
    <n v="437"/>
    <n v="1"/>
    <n v="651687"/>
    <n v="-9996.9500000000007"/>
    <n v="0"/>
    <n v="641690.05000000005"/>
    <n v="641690.05000000005"/>
    <n v="0"/>
    <n v="651687"/>
    <s v="23FR314513"/>
    <s v="To continue supplemental payments for Independent Living Youth through December 31, 2023 via subawards. Previously supported by Chafee Division X funds"/>
    <s v="Youth with previous foster care experience to help mitigate the negative financial and socioeconomic impact caused by the Pandemic. "/>
    <s v="Supplemental payments to mitigate the risk for homelessness, unemployment, adversely educationally impacted, with significant negative mental health impacts."/>
    <s v="Allocation Change to De-obligate was approved by the GFO ARPA Team on 10/10/23 - 100% Expended - FINALIZED"/>
    <x v="2"/>
    <n v="641690.05000000005"/>
    <n v="0"/>
    <n v="641690.05000000005"/>
    <n v="641690.05000000005"/>
    <n v="0"/>
    <n v="641690.05000000005"/>
    <n v="0.98465989040751167"/>
    <n v="-9996.9500000000007"/>
    <n v="641690.05000000005"/>
    <n v="0"/>
    <n v="0"/>
    <s v="One Time Funding"/>
    <n v="404"/>
    <s v="N/A"/>
    <s v="No"/>
    <x v="0"/>
    <x v="3"/>
  </r>
  <r>
    <x v="5"/>
    <s v="23LADTR01a"/>
    <s v="DCFS - LATENCY AGE DAY TREATMENT - FY 23 (PCN 2050-2057 - 8 FTE &amp; associated costs)."/>
    <n v="3646"/>
    <d v="2022-10-20T00:00:00"/>
    <d v="2023-06-30T00:00:00"/>
    <n v="253"/>
    <n v="1"/>
    <n v="544022"/>
    <n v="-492593"/>
    <n v="0"/>
    <n v="51429"/>
    <n v="51429"/>
    <n v="0"/>
    <n v="544022"/>
    <s v="23FRF36467"/>
    <s v="To create a Latency Age Day Treatment program that will provide mental health services to youths 7-11 years old with determined Severe Emotional Disturbance "/>
    <s v="Families and caregivers will benefit from comprehensive and coordinated mental health services to include child/family psychotherapy, targeted case management, psychiatric services, assessment and referrals. "/>
    <s v="Families and caregivers will benefit from comprehensive and coordinated mental health services to include child/family psychotherapy, targeted case management, psychiatric services, assessment and referrals. "/>
    <s v="Project 100% Complete.  Balance should be de-obligated.  Positions and associated operating cost were funded with General Fund Appropriations and Medicaid Reimbursements in L01 effective SFY 2025"/>
    <x v="2"/>
    <n v="51429"/>
    <n v="0"/>
    <n v="51429"/>
    <n v="51429"/>
    <n v="0"/>
    <n v="51429"/>
    <n v="9.4534779843462216E-2"/>
    <n v="-492593"/>
    <n v="51429"/>
    <n v="0"/>
    <n v="0"/>
    <s v="General Fund &amp; Medicaid starting 7/1/24 - SFY 25"/>
    <s v="N/A"/>
    <s v="N/A"/>
    <s v="No"/>
    <x v="2"/>
    <x v="4"/>
  </r>
  <r>
    <x v="5"/>
    <s v="23LADTR01b"/>
    <s v="DCFS - LATENCY AGE DAY TREATMENT - FY 24 (PCN 2050-2057 - 8 FTE &amp; associated cost). Program funded with GF &amp; Medicaid Reimb starting with SFY 2025"/>
    <n v="3646"/>
    <d v="2022-10-20T00:00:00"/>
    <d v="2024-06-30T00:00:00"/>
    <n v="619"/>
    <n v="1"/>
    <n v="771899"/>
    <n v="-325538"/>
    <n v="0"/>
    <n v="446361"/>
    <n v="446361"/>
    <n v="0"/>
    <n v="771899"/>
    <s v="L01 SFY 24"/>
    <s v="To create a Latency Age Day Treatment program that will provide mental health services to youths 7-11 years old with determined Severe Emotional Disturbance "/>
    <s v="Families and caregivers will benefit from comprehensive and coordinated mental health services to include child/family psychotherapy, targeted case management, psychiatric services, assessment and referrals. "/>
    <s v="Families and caregivers will benefit from comprehensive and coordinated mental health services to include child/family psychotherapy, targeted case management, psychiatric services, assessment and referrals. "/>
    <s v="Project 100% Complete.  Balance should be de-obligated.  Positions and associated operating cost were funded with General Fund Appropriations and Medicaid Reimbursements in L01 effective SFY 2025"/>
    <x v="2"/>
    <n v="403955.96"/>
    <n v="0"/>
    <n v="403955.96"/>
    <n v="403955.96"/>
    <n v="0"/>
    <n v="403955.96"/>
    <n v="0.52332748196331391"/>
    <n v="-325538"/>
    <n v="446361"/>
    <n v="0"/>
    <n v="42405.039999999979"/>
    <s v="General Fund &amp; Medicaid starting 7/1/24 - SFY 25"/>
    <s v="N/A"/>
    <s v="N/A"/>
    <s v="No"/>
    <x v="2"/>
    <x v="4"/>
  </r>
  <r>
    <x v="5"/>
    <s v="23LVSRC01"/>
    <s v="VEGAS STRONG RESILIENCY CENTER"/>
    <n v="3145"/>
    <d v="2022-12-15T00:00:00"/>
    <d v="2026-12-31T00:00:00"/>
    <n v="1477"/>
    <n v="0.60121868652674337"/>
    <n v="7022777"/>
    <n v="-401607"/>
    <n v="0"/>
    <n v="6621170"/>
    <n v="6621170"/>
    <n v="0"/>
    <n v="7022777"/>
    <s v="23FR314522"/>
    <s v="A capital improvement project to provide a one stop shop for victims to receive wrap around support provided by Legal Aid Center of Southern Nevada."/>
    <s v="Provide capital improvements and temporary contract staff and associated costs for the Vegas Strong Resiliency Center."/>
    <s v="Provide capital improvements and temporary contract staff and associated costs for the Vegas Strong Resiliency Center."/>
    <s v="Based on an updated spending plan, the subrecipient determined that $401,607 originally designated for project oversight should be de-obligated,  Work Program 24FR31456T balanced forward the ARPA allocation remaining at the end of SFY 2023 minus the $401,607to be de-obligated.  Legal Aid Center of Southern Nevada has secured a building at 801 E. Charleston in Las Vegas. The building is a former bank and renovations are necessary and will include an additional building and parking.  Legal Aid Center has retained LGA Architecture to designed concept drawings that expand on the footprint of the existing building that meets the needs of the new building while keeping the historic design attributes.  A historical consultant has also been retained to document the current building for establishing a permanent historical record.  _x000a__x000a_On April 9, 2024, the first community meeting with surrounding neighbors to ensure they were aware of the new project and to elicit valuable feedback that could be integrated into the design to ensure it is a valued community asset and place of healing. _x000a__x000a_Legal Aid Center is currently receiving bids for demolition of parts of the existing site. Special care is being taken to preserve the architecturally significant pieces of the building, such as the Brise Soleil on the east face of the building and the unique brickwork, both of which will be reinstalled in the new structure. Demolition is expected to start/end June-August 2024."/>
    <x v="1"/>
    <n v="6621170"/>
    <n v="0"/>
    <n v="6621170"/>
    <n v="812222.25"/>
    <n v="8550.5"/>
    <n v="820772.75"/>
    <n v="0.11687296207753714"/>
    <n v="-401607"/>
    <n v="6621170"/>
    <n v="0"/>
    <n v="0"/>
    <s v="One Time Funding"/>
    <s v="N/A"/>
    <s v="N/A"/>
    <s v="Yes"/>
    <x v="2"/>
    <x v="0"/>
  </r>
  <r>
    <x v="5"/>
    <s v="23MBCCC01"/>
    <s v="DCFS - Mobile Crisis Response Team - Clark County School District - funding for both SFY 23 ($1,208,534) &amp; 24 ($1,487,527 L01) for PCN 2150-2162 - 13 FTE &amp; associated cost. Program funded with GF &amp; Medicaid Reimb starting with SFY 2025"/>
    <n v="3646"/>
    <d v="2022-08-18T00:00:00"/>
    <d v="2024-06-30T00:00:00"/>
    <n v="682"/>
    <n v="1"/>
    <n v="2689836"/>
    <n v="-1625607"/>
    <n v="0"/>
    <n v="1064229"/>
    <n v="1064229"/>
    <n v="0"/>
    <n v="2689836"/>
    <s v="23FRF36466 plus L01 SFY 24"/>
    <s v="Fund mobile crisis expansion due to sustained growth in service utilization, partly with increase in distress, isolation, and hardship related to COVID-19.  These staff would target students in Clark County School District."/>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Project 100% Complete.  Balance should be de-obligated.  Positions and associated operating cost were funded with General Fund Appropriations and Medicaid Reimbursements in L01 effective SFY 2025"/>
    <x v="2"/>
    <n v="1064229"/>
    <n v="0"/>
    <n v="1064229"/>
    <n v="921013.70000000007"/>
    <m/>
    <n v="921013.70000000007"/>
    <n v="0.34240515035117386"/>
    <n v="-1625607"/>
    <n v="1064229"/>
    <n v="0"/>
    <n v="0"/>
    <s v="General Fund &amp; Medicaid starting 7/1/24 - SFY 25"/>
    <s v="N/A"/>
    <s v="N/A"/>
    <s v="No"/>
    <x v="2"/>
    <x v="4"/>
  </r>
  <r>
    <x v="5"/>
    <s v="23MBCWC01"/>
    <s v="DCFS - Mobile Crisis Response Team - Washoe County School District - funding for both SFY 23 ($361,982) &amp; 24 ($446,313) - PCN 2150-2153 - 4 FTE &amp; associated cost. Program funded with GF &amp; Medicaid Reimb starting with SFY 2025"/>
    <n v="3281"/>
    <d v="2022-08-18T00:00:00"/>
    <d v="2024-06-30T00:00:00"/>
    <n v="682"/>
    <n v="1"/>
    <n v="808295"/>
    <n v="-591715"/>
    <m/>
    <n v="216580"/>
    <n v="216580"/>
    <n v="0"/>
    <n v="808295"/>
    <s v="23FRF32813 plus L01 SFY 24"/>
    <s v="Fund mobile crisis expansion due to sustained growth in service utilization, partly with increase in distress, isolation, and hardship related to COVID-19.  These staff would target students in Washoe County School District."/>
    <s v="Mobile Crisis dispatches clinicians and caseworkers to assess for safety in community settings of family choice and provides short term stabilization to mediate community availability to start long-term therapeutic services."/>
    <s v="Mobile Crisis screens during assessment for negative impact on family from COVID and the added positions allow for increased response to community and supports proportional increase in demand for services from community families and stakeholders."/>
    <s v="Project 100% Complete.  Balance should be de-obligated.  Positions and associated operating cost were funded with General Fund Appropriations and Medicaid Reimbursements in L01 effective SFY 2025"/>
    <x v="2"/>
    <n v="182957.14"/>
    <n v="0"/>
    <n v="182957.14"/>
    <n v="182957.14"/>
    <n v="0"/>
    <n v="182957.14"/>
    <n v="0.22634946399519978"/>
    <n v="-591715"/>
    <n v="216580"/>
    <n v="0"/>
    <n v="33622.859999999986"/>
    <s v="General Fund &amp; Medicaid starting 7/1/24 - SFY 25"/>
    <s v="N/A"/>
    <s v="N/A"/>
    <s v="No"/>
    <x v="3"/>
    <x v="4"/>
  </r>
  <r>
    <x v="5"/>
    <s v="23MYAVT02"/>
    <s v="DCFS - myAVATAR"/>
    <n v="3143"/>
    <d v="2022-08-18T00:00:00"/>
    <d v="2024-06-30T00:00:00"/>
    <n v="682"/>
    <n v="1"/>
    <n v="364000"/>
    <n v="-48000"/>
    <m/>
    <n v="316000"/>
    <n v="316000"/>
    <n v="0"/>
    <n v="364000"/>
    <s v="23FRF31431"/>
    <s v="Upgrade to myAvatar, an electronic health record solution to improve efficiency in operations."/>
    <s v="Upgrade the Netsmart myAvatar to the NX platform to maintain security compliance and meet accreditation for the system utilized by our clinicians for reporting treatment and medications for the clients we serve."/>
    <s v="Upgrade the Netsmart myAvatar to the NX platform to maintain security compliance and meet accreditation for the system utilized by our clinicians for reporting treatment and medications for the clients we serve."/>
    <s v="Allocation Change to De-obligate $48,000 was approved by the GFO ARPA Team  - 100% Expended - FINALIZED"/>
    <x v="2"/>
    <n v="316000"/>
    <n v="0"/>
    <n v="316000"/>
    <n v="316000"/>
    <n v="375060"/>
    <n v="691060"/>
    <n v="1.8985164835164836"/>
    <n v="-48000"/>
    <n v="316000"/>
    <n v="0"/>
    <n v="0"/>
    <s v="One Time Funding"/>
    <s v="N/A"/>
    <s v="N/A"/>
    <s v="No"/>
    <x v="0"/>
    <x v="0"/>
  </r>
  <r>
    <x v="5"/>
    <s v="23NNPSI01"/>
    <s v="DCFS - PUBLIC SERVICE INTERNS - Northern Nevada -  funding for both SFY 23 ($186,468) &amp; 24 ($241,020 L01 per LCB ARPA Spreadsheet Dec 2023 -line 212 ) for PCN 2021- 2026 - 6 - 0.50 FTE positions &amp; associated cost. Program funded with GF &amp; Medicaid Reimb starting with SFY 2025"/>
    <n v="3281"/>
    <d v="2022-08-18T00:00:00"/>
    <d v="2024-06-30T00:00:00"/>
    <n v="682"/>
    <n v="1"/>
    <n v="427488"/>
    <n v="-365181"/>
    <m/>
    <n v="62307"/>
    <n v="62307"/>
    <n v="0"/>
    <n v="427488"/>
    <s v="23FRF32812 plus L01 SFY 24"/>
    <s v="To incentivize students to enter state service and address workforce shortage"/>
    <s v="These positions would enable the agency to have an internal pool of candidates for clinician positions."/>
    <s v="Recruiting difficulties that began with COVID-19 would be reduced."/>
    <s v="Project 100% Complete.  Balance should be de-obligated.  Positions and associated operating cost were funded with General Fund Appropriations and Medicaid Reimbursements in L01 effective SFY 2025"/>
    <x v="2"/>
    <n v="46972.06"/>
    <n v="0"/>
    <n v="46972.06"/>
    <n v="46972.06"/>
    <n v="0"/>
    <n v="46972.06"/>
    <n v="0.10987924807246051"/>
    <n v="-365181"/>
    <n v="62307"/>
    <n v="0"/>
    <n v="15334.940000000002"/>
    <s v="General Fund &amp; Medicaid starting 7/1/24 - SFY 25"/>
    <s v="N/A"/>
    <s v="N/A"/>
    <s v="No"/>
    <x v="3"/>
    <x v="1"/>
  </r>
  <r>
    <x v="5"/>
    <s v="23NVPEP01"/>
    <s v="Nevada PEP - Community Recovery Grant"/>
    <n v="3145"/>
    <d v="2022-07-27T00:00:00"/>
    <d v="2024-09-30T00:00:00"/>
    <n v="796"/>
    <n v="1"/>
    <n v="112657"/>
    <n v="0"/>
    <n v="0"/>
    <n v="112657"/>
    <n v="112657"/>
    <n v="0"/>
    <n v="112657"/>
    <s v="23FRF31451"/>
    <s v="This program will focus on outreach to make families of children with disabilities aware of the services that are out there to serve their child. Nevada PEP will reach out to families and let them know how to seek services, how to communicate with the child's school or therapist about regressions or changes to be made, and will attend meetings with the family, and offer them support and confidence."/>
    <s v="Children with disabilities have fallen behind their same age peers overall and have regressed in mental health, reading, writing, and speech since COVID."/>
    <s v="Children with disabilities have fallen behind their same age peers overall and have regressed in mental health, reading, writing, and speech since COVID."/>
    <s v="Nevada PEP is developed a training and certiﬁcation program for Family Peer Support Services. Expenditures include the  RFR through 09/30/2024. The division will confirm that this was the FINAL RFR for 100% of the expenditures and if the balance of $5,423 will be de-obligated."/>
    <x v="2"/>
    <n v="112657"/>
    <n v="0"/>
    <n v="112657"/>
    <n v="107233.38"/>
    <n v="0"/>
    <n v="107233.38"/>
    <n v="0.95185723035408365"/>
    <n v="0"/>
    <n v="112657"/>
    <n v="0"/>
    <n v="0"/>
    <s v="One Time Funding"/>
    <n v="3115"/>
    <s v="N/A"/>
    <s v="No"/>
    <x v="0"/>
    <x v="4"/>
  </r>
  <r>
    <x v="5"/>
    <s v="23NWFEO01"/>
    <s v="Nursing Workforce Educational Opportunity"/>
    <n v="3145"/>
    <d v="2022-10-20T00:00:00"/>
    <d v="2025-12-31T00:00:00"/>
    <n v="1168"/>
    <n v="0.80821917808219179"/>
    <n v="6000000"/>
    <n v="0"/>
    <n v="0"/>
    <n v="6000000"/>
    <n v="6000000"/>
    <n v="0"/>
    <n v="6000000"/>
    <s v="23FR314517"/>
    <s v="Develop and enhance the nursing workforce to address unprecedented medical workforce shortages through providing scholarships to eligible Nevada Registered Nurses to enter a nationally accredited APRN program."/>
    <s v="Develop and enhance the nursing workforce to address unprecedented medical workforce shortages through providing scholarships to eligible Nevada Registered Nurses to enter a nationally accredited APRN program."/>
    <s v="Nevada is experiencing unprecedented medical workforce shortages in medicine, nursing, and behavioral health. 1.9 million Nevadans reside in a primary care Health Professional Shortage Area (HPSA) or 67.3% of the state's_x000a_population."/>
    <s v="UNR is on target to fully expend by 12/31/2025. UNR will be contracting with another entity starting 01/01/2025. Projections based on spending plan submitted by UNR. Scholarships are awarded by semester. UNLV has expended 100% of the $3.0 million awarded for the scholarships."/>
    <x v="0"/>
    <n v="6000000"/>
    <n v="0"/>
    <n v="6000000"/>
    <n v="3687879.72"/>
    <n v="0"/>
    <n v="3687879.72"/>
    <n v="0.61464662000000003"/>
    <n v="0"/>
    <n v="6000000"/>
    <n v="0"/>
    <n v="0"/>
    <s v="One Time Funding"/>
    <n v="310"/>
    <s v="N/A"/>
    <s v="No"/>
    <x v="0"/>
    <x v="1"/>
  </r>
  <r>
    <x v="5"/>
    <s v="23OASIS01"/>
    <s v="DCFS - Oasis Staffing"/>
    <n v="3646"/>
    <d v="2022-07-01T00:00:00"/>
    <d v="2024-06-30T00:00:00"/>
    <n v="730"/>
    <n v="1"/>
    <n v="1674380"/>
    <n v="0"/>
    <n v="0"/>
    <n v="1674380"/>
    <n v="1674380"/>
    <n v="0"/>
    <n v="1674380"/>
    <s v="23FRF36464"/>
    <s v="This would fund the temporary staffing necessary to fully operate two unlocked residential treatment homes on the West Charleston campus."/>
    <s v="The funding would support the temporary staffing needs of the Oasis program. This program provides critical residential services for the community."/>
    <s v="The Oasis program conducts an assessment prior to admissions to ensure that the clients meet the eligibility requirements for the program. "/>
    <s v="100% Expended"/>
    <x v="2"/>
    <n v="1674380"/>
    <n v="0"/>
    <n v="1674380"/>
    <n v="1674380"/>
    <n v="0"/>
    <n v="1674380"/>
    <n v="1"/>
    <n v="0"/>
    <n v="1674380"/>
    <n v="0"/>
    <n v="0"/>
    <s v="One Time Funding"/>
    <s v="N/A"/>
    <s v="N/A"/>
    <s v="No"/>
    <x v="2"/>
    <x v="1"/>
  </r>
  <r>
    <x v="5"/>
    <s v="23QRTPC01"/>
    <s v="Qualified Residential Treatment Program Clark Co  - Amendment #1 extended from date  to 6/30/24  - Amendment #2  extended from date 6/30/24 to 2/28/25"/>
    <n v="3145"/>
    <d v="2023-10-20T00:00:00"/>
    <d v="2025-02-28T00:00:00"/>
    <n v="497"/>
    <n v="1.1649899396378269"/>
    <n v="1695060"/>
    <n v="0"/>
    <n v="0"/>
    <n v="1695060"/>
    <n v="1695060"/>
    <n v="0"/>
    <n v="1695060"/>
    <s v="23FR314512"/>
    <s v="To support a 12 bed pilot program that meets Qualified Residential Treatment Program requirements."/>
    <s v="The goal of the programming is to ensure children and youth are not languishing in emergency shelters, detention, or hospitals when they need a community based level of foster care."/>
    <s v="Creating the new level of care for children and youth in foster care will provide an opportunity for children and youth to receive an appropriate level of mental health care"/>
    <s v=" Per CCDFS, they are in the process of finalizing a contract with Apple Grove for 6 more beds to ensure the QRTP daily rate is consistent.  "/>
    <x v="1"/>
    <n v="1695060"/>
    <n v="0"/>
    <n v="1695060"/>
    <n v="1449722"/>
    <n v="158269"/>
    <n v="1607991"/>
    <n v="0.94863367668401122"/>
    <n v="0"/>
    <n v="1695060"/>
    <n v="0"/>
    <n v="0"/>
    <s v="One Time Funding"/>
    <n v="60"/>
    <s v="N/A"/>
    <s v="No"/>
    <x v="2"/>
    <x v="4"/>
  </r>
  <r>
    <x v="5"/>
    <s v="23RWECC01"/>
    <s v="Refuge for Women Emergency Crisis Care - Community Recovery Grant - Amendment #1 exteded from date 9/30/24 to 12/31/24"/>
    <n v="3145"/>
    <d v="2022-07-27T00:00:00"/>
    <d v="2024-12-31T00:00:00"/>
    <n v="888"/>
    <n v="1.1587837837837838"/>
    <n v="485869"/>
    <n v="0"/>
    <n v="0"/>
    <n v="485869"/>
    <n v="485869"/>
    <n v="0"/>
    <n v="485869"/>
    <s v="23FRF31452"/>
    <s v="Provide a safe shelter, trauma informed care, and a full continuum of care to victims of sex-trafficking and those looking to leave the dark sex-industry."/>
    <s v="Provide a safe shelter, trauma informed care, and a full continuum of care to victims of sex-trafficking and those looking to leave the dark sex-industry."/>
    <s v="Continue to provide support to victims of crime in Nevada"/>
    <s v="This award/subaward ended 9/30/24.  The division is waiting for the final request for reimbursement (RFR) from 23RWECC01.  The expenditures report to date are through July 2024.  August 2024 RFR in the amount of $28,971.49 was submitted for payment on 11/18/24 leaving a balance of $31,351.92 for the final RFR for September 2024.    A letter will go out requesting their final RFR"/>
    <x v="0"/>
    <n v="485869"/>
    <n v="0"/>
    <n v="485869"/>
    <n v="425545.59"/>
    <n v="0"/>
    <n v="425545.59"/>
    <n v="0.87584429136248665"/>
    <n v="0"/>
    <n v="485869"/>
    <n v="0"/>
    <n v="0"/>
    <s v="One Time Funding"/>
    <n v="120"/>
    <s v="N/A"/>
    <s v="No"/>
    <x v="2"/>
    <x v="3"/>
  </r>
  <r>
    <x v="5"/>
    <s v="23SNPSI01"/>
    <s v="DCFS - Public Service Interns - Southern Nevada -  funding for both SFY 23 ($139,886) &amp; 24 ($160,680 L01) for PCN 2021-2024 - 13 FTE &amp; associated cost. Program funded with GF &amp; Medicaid Reimb starting with SFY 2025"/>
    <n v="3646"/>
    <d v="2022-08-18T00:00:00"/>
    <d v="2024-06-30T00:00:00"/>
    <n v="682"/>
    <n v="1"/>
    <n v="300566"/>
    <n v="-259758"/>
    <n v="0"/>
    <n v="40808"/>
    <n v="40808"/>
    <n v="0"/>
    <n v="300566"/>
    <s v="23FRF36465 plus L01 SFY 24"/>
    <s v="The use of Public Service Interns throughout the State of Nevada would provide a relatively low-cost method of incentivizing students to enter the State of Nevada system as a service provider by offering clinical training opportunities."/>
    <s v="These positions would enable the agency to have an internal pool of candidates for clinician positions."/>
    <s v="Recruiting difficulties that began with COVID-19 would be reduced."/>
    <s v="Project 100% Complete.  Balance should be de-obligated.  Positions and associated operating cost were funded with General Fund Appropriations and Medicaid Reimbursements in L01 effective SFY 2025"/>
    <x v="2"/>
    <n v="35581.15"/>
    <n v="0"/>
    <n v="35581.15"/>
    <n v="35581.15"/>
    <n v="0"/>
    <n v="35581.15"/>
    <n v="0.11838048881110971"/>
    <n v="-259758"/>
    <n v="40808"/>
    <n v="0"/>
    <n v="5226.8499999999985"/>
    <s v="General Fund &amp; Medicaid starting 7/1/24 - SFY 25"/>
    <s v="N/A"/>
    <s v="N/A"/>
    <s v="No"/>
    <x v="2"/>
    <x v="1"/>
  </r>
  <r>
    <x v="5"/>
    <s v="23SPFCC01"/>
    <s v="Clark County SFC Rate increase - Retention of foster care providers through a temporary rate increase "/>
    <n v="3142"/>
    <d v="2023-01-01T00:00:00"/>
    <d v="2023-12-31T00:00:00"/>
    <n v="364"/>
    <n v="1"/>
    <n v="1275028"/>
    <n v="-200228"/>
    <n v="0"/>
    <n v="1074800"/>
    <n v="1074800"/>
    <n v="0"/>
    <n v="1275028"/>
    <s v="23FRF31422"/>
    <s v="Retention of foster care providers through a temporary rate increase"/>
    <s v="Retention of foster care providers through a temporary rate increase. "/>
    <s v="Retention of foster care providers through a temporary rate increase"/>
    <s v="The balance was de-obligated via an allocation change form 10/10/23  - 100% Expended - FINALIZED"/>
    <x v="2"/>
    <n v="1074800"/>
    <n v="0"/>
    <n v="1074800"/>
    <n v="1074800"/>
    <n v="0"/>
    <n v="1074800"/>
    <n v="0.84296188005283024"/>
    <n v="-200228"/>
    <n v="1074800"/>
    <n v="0"/>
    <n v="0"/>
    <s v="One Time Funding"/>
    <n v="352"/>
    <s v="N/A"/>
    <s v="No"/>
    <x v="2"/>
    <x v="3"/>
  </r>
  <r>
    <x v="5"/>
    <s v="23SPFWC01"/>
    <s v="Washoe County SFC Rate increase -Retention of foster care providers through a temporary rate increase"/>
    <n v="3141"/>
    <d v="2023-01-01T00:00:00"/>
    <d v="2024-12-31T00:00:00"/>
    <n v="730"/>
    <n v="1"/>
    <n v="344182"/>
    <n v="-37462"/>
    <m/>
    <n v="306720"/>
    <n v="306720"/>
    <n v="0"/>
    <n v="344182"/>
    <s v="23FRF31411"/>
    <s v="Retention of foster care providers through a temporary rate increase"/>
    <s v="Retention of foster care providers through a temporary rate increase"/>
    <s v="Retention of foster care providers through a temporary rate increase"/>
    <s v="The balance was de-obligated via an allocation change form 10/10/23  - 100% Expended - FINALIZED"/>
    <x v="2"/>
    <n v="306720"/>
    <m/>
    <n v="306720"/>
    <n v="306720"/>
    <n v="0"/>
    <n v="306720"/>
    <n v="0.89115642305524401"/>
    <n v="-37462"/>
    <n v="306720"/>
    <n v="0"/>
    <n v="0"/>
    <s v="One Time Funding"/>
    <n v="94"/>
    <s v="N/A"/>
    <s v="No"/>
    <x v="3"/>
    <x v="3"/>
  </r>
  <r>
    <x v="5"/>
    <s v="23SRPRN01"/>
    <s v="Study to review Reimbursement Parity APRN - 100% of funding returned - study was not completed."/>
    <n v="3145"/>
    <d v="2022-10-20T00:00:00"/>
    <d v="2023-10-19T00:00:00"/>
    <n v="364"/>
    <n v="1"/>
    <n v="500000"/>
    <n v="-500000"/>
    <n v="0"/>
    <n v="0"/>
    <n v="0"/>
    <n v="0"/>
    <n v="500000"/>
    <s v="23FR314516"/>
    <s v="To conduct a study to review the impact of reimbursement parity for services provided by Advanced Practice Registered Nurses."/>
    <s v="A systems approach for review will be utilized considering cost savings of using APRNs, impact on workforce development and retention if reimbursement parity exists."/>
    <s v="A systems approach for review will be utilized considering cost savings of using APRNs, impact on workforce development and retention if reimbursement parity exists."/>
    <s v="Allocation Change to Deobligate 100% approved by GFO 7-14-23 Funding not needed"/>
    <x v="2"/>
    <n v="0"/>
    <m/>
    <n v="0"/>
    <n v="0"/>
    <n v="0"/>
    <n v="0"/>
    <n v="0"/>
    <n v="-500000"/>
    <n v="0"/>
    <n v="0"/>
    <n v="0"/>
    <s v="One Time Funding"/>
    <s v="N/A"/>
    <s v="N/A"/>
    <s v="No"/>
    <x v="0"/>
    <x v="2"/>
  </r>
  <r>
    <x v="5"/>
    <s v="23SUPST01a"/>
    <s v="DCFS -ARPA Oversight -  BA 3145 (8 FTE - PCN 526-533); and Children's Behavioral Health Authority - BA 3146 (8 FTE - PCN 155, 156, 158, 159, 161, 162, 521 &amp;525) SFY 23 - "/>
    <s v="3145 &amp; 3146"/>
    <d v="2022-08-18T00:00:00"/>
    <d v="2025-06-30T00:00:00"/>
    <n v="1047"/>
    <n v="1"/>
    <n v="2041322"/>
    <n v="-1856496"/>
    <n v="0"/>
    <n v="184826"/>
    <n v="184826"/>
    <n v="0"/>
    <n v="2041322"/>
    <s v="23FRF31458"/>
    <s v="Sixteen positions,  associated equipment, and operating expenses.   8 positions support the oversight of the ARPA allocations awarded to DCFS and 8 positions are assigned to the Children’s Behavioral Health Authority program.  "/>
    <s v="Staff to provide DCFS with sufficient capacity to train and provide technical assistance to the behavioral health workforce; to expand evidence based children's mental and behavioral health for government agencies and community providers; and to provide oversight and quality assurance over children's mental/behavioral health services in Nevada. "/>
    <s v="Behavioral health workforce; to expand evidence based children's mental and behavioral health for government agencies and community providers"/>
    <s v="The division will submit a work program will to the GFO for consideration at the December 12, 2024 IFC meeting to use to the $1,856,496 remaining from this ARPA allocation to fund ARPA Oversight Contract Temp in SFY 2026 and 2027 through 2/28/2027,  a Management Analyst position for Contracts, cubicles, training and Respite."/>
    <x v="2"/>
    <n v="184826"/>
    <m/>
    <n v="184826"/>
    <n v="184826"/>
    <n v="0"/>
    <n v="184826"/>
    <n v="9.0542305427561157E-2"/>
    <n v="-1856496"/>
    <n v="184826"/>
    <n v="0"/>
    <n v="0"/>
    <s v="One Time Funding"/>
    <s v="N/A"/>
    <s v="N/A"/>
    <s v="No"/>
    <x v="0"/>
    <x v="1"/>
  </r>
  <r>
    <x v="5"/>
    <s v="23SUPST01b"/>
    <s v="DCFS -ARPA Oversight -  BA 3145 (8 FTE - PCN 526-533); and Children's Behavioral Health Authority - BA 3146 (8 FTE - PCN 155, 156, 158, 159, 161, 162, 521 &amp;525) SFY 24.  "/>
    <s v="3145 &amp; 3146"/>
    <d v="2022-08-18T00:00:00"/>
    <d v="2024-08-31T00:00:00"/>
    <n v="744"/>
    <n v="1"/>
    <n v="2433016"/>
    <n v="-1126942.52"/>
    <n v="0"/>
    <n v="1306073.48"/>
    <n v="1306073.48"/>
    <n v="0"/>
    <n v="2433016"/>
    <s v="L01 SFY 24"/>
    <s v="Sixteen positions,  associated equipment, and operating expenses.   Eight positions support the oversight of the ARPA allocations awarded to DCFS and 8 positions are assigned to the Children’s Behavioral Health Authority program"/>
    <s v="Staff to provide DCFS with sufficient capacity to train and provide technical assistance to the behavioral health workforce; to expand evidence based children's mental and behavioral health for government agencies and community providers; and to provide oversight and quality assurance over children's mental/behavioral health services in Nevada. "/>
    <s v="Behavioral health workforce; to expand evidence based children's mental and behavioral health for government agencies and community providers"/>
    <s v="Project is complete for SFY 2024.  "/>
    <x v="2"/>
    <n v="1306073.48"/>
    <m/>
    <n v="1306073.48"/>
    <n v="1306073.48"/>
    <n v="0"/>
    <n v="1306073.48"/>
    <n v="0.53681253226448156"/>
    <n v="-1126942.52"/>
    <n v="1306073.48"/>
    <n v="0"/>
    <n v="0"/>
    <s v="One Time Funding"/>
    <s v="N/A"/>
    <s v="N/A"/>
    <s v="No"/>
    <x v="0"/>
    <x v="1"/>
  </r>
  <r>
    <x v="5"/>
    <s v="23SUPST3145"/>
    <s v="DCFS -ARPA Oversight  SFY 2025-  BA 3145 (8 FTE - PCN 526-533)  - Amendment #1 "/>
    <n v="3145"/>
    <d v="2024-07-01T00:00:00"/>
    <d v="2027-02-28T00:00:00"/>
    <n v="972"/>
    <n v="0.33333333333333331"/>
    <n v="1014987"/>
    <n v="232771"/>
    <n v="0"/>
    <n v="1247758"/>
    <n v="1247758"/>
    <n v="0"/>
    <n v="1014987"/>
    <s v="25FRF31452 "/>
    <s v="Eight positions,  associated equipment, and operating expenses.   Eight positions support the oversight of the ARPA allocations awarded to DCFS "/>
    <s v="Staff to provide DCFS with sufficient capacity to provide oversight of the ARPA Allocations award to the division"/>
    <s v="Behavioral health workforce; to expand evidence based children's mental and behavioral health for government agencies and community providers"/>
    <s v="All eight positions are currently filled, of which two are with Contract/Temp workers.  The division has had problems  setting up the positions with Job #s for the download from HRDW.  JVRs need to be completed to capture 100% of the salaries and fringe benefits through 10/31/24"/>
    <x v="1"/>
    <n v="1247758"/>
    <m/>
    <n v="1247758"/>
    <n v="256345.64"/>
    <n v="46582.17"/>
    <n v="302927.81"/>
    <n v="0.29845486690962542"/>
    <n v="232771"/>
    <n v="1247758"/>
    <n v="0"/>
    <n v="0"/>
    <s v="One Time Funding"/>
    <s v="N/A"/>
    <s v="N/A"/>
    <s v="No"/>
    <x v="0"/>
    <x v="1"/>
  </r>
  <r>
    <x v="5"/>
    <s v="23SUPST3146"/>
    <s v="DCFS -ARPA Children's Behavioral Health Authority  SFY 2025-  BA  3146 (8 FTE - PCN 155, 156, 158, 159, 161, 162, 521 &amp;525) SFY 24.  "/>
    <n v="3146"/>
    <d v="2024-07-01T00:00:00"/>
    <d v="2027-02-28T00:00:00"/>
    <n v="972"/>
    <n v="0.33333333333333331"/>
    <n v="1499500"/>
    <n v="-232771"/>
    <n v="0"/>
    <n v="1266729"/>
    <n v="1266729"/>
    <n v="0"/>
    <n v="1499500"/>
    <s v="25FRF31461"/>
    <s v="Eight positions,  associated equipment, and operating expenses.   Eight positions support the Children’s Behavioral Health Authority program"/>
    <s v="Staff to provide DCFS with sufficient capacity to train and provide technical assistance to the behavioral health workforce; to expand evidence based children's mental and behavioral health for government agencies and community providers; and to provide oversight and quality assurance over children's mental/behavioral health services in Nevada. "/>
    <s v="Behavioral health workforce; to expand evidence based children's mental and behavioral health for government agencies and community providers"/>
    <s v="All eight positions are currently filled, of which two are with Contract/Temp workers.  See above 23SUPST3145 regarding JVRs needed for Job #21027A21 to be added for salaries paid thru 10/31/24"/>
    <x v="1"/>
    <n v="1266729"/>
    <m/>
    <n v="1266729"/>
    <n v="258221.63"/>
    <n v="1718114.7"/>
    <n v="1976336.33"/>
    <n v="1.3179968856285429"/>
    <n v="-232771"/>
    <n v="1266729"/>
    <n v="0"/>
    <n v="0"/>
    <s v="One Time Funding"/>
    <s v="N/A"/>
    <s v="N/A"/>
    <s v="No"/>
    <x v="0"/>
    <x v="1"/>
  </r>
  <r>
    <x v="5"/>
    <s v="23UNBSS01"/>
    <s v=" Unified Billing Support Software"/>
    <n v="3145"/>
    <d v="2022-08-18T00:00:00"/>
    <d v="2024-12-31T00:00:00"/>
    <n v="866"/>
    <n v="1"/>
    <n v="400000"/>
    <n v="0"/>
    <n v="0"/>
    <n v="400000"/>
    <n v="400000"/>
    <n v="0"/>
    <n v="400000"/>
    <s v="23FRF31459"/>
    <s v="Contract for a software platform that allows for clinical documentation, tracking, and billing of mental health services in Nevada Schools."/>
    <s v="Funding will be used as seed dollars to implement a statewide system that the districts would be able to opt in to bill for services outside of the IEP."/>
    <s v="Integrate across systems to establish core student identity, access management, and bidirectional information exchange. Leverage and further develop the Statewide Behavioral Health Referral Use Case"/>
    <s v="100% Expended"/>
    <x v="2"/>
    <n v="400000"/>
    <m/>
    <n v="400000"/>
    <n v="400000"/>
    <n v="0"/>
    <n v="400000"/>
    <n v="1"/>
    <n v="0"/>
    <n v="400000"/>
    <n v="0"/>
    <n v="0"/>
    <s v="One Time Funding"/>
    <s v="N/A"/>
    <s v="N/A"/>
    <s v="No"/>
    <x v="2"/>
    <x v="0"/>
  </r>
  <r>
    <x v="5"/>
    <s v="23UNITY01"/>
    <s v="Unified Nevada Information  Technology  for Youth (UNITY) Replacement"/>
    <n v="3143"/>
    <d v="2022-10-20T00:00:00"/>
    <d v="2025-06-30T00:00:00"/>
    <n v="984"/>
    <n v="0.95934959349593496"/>
    <n v="18370000"/>
    <n v="0"/>
    <n v="0"/>
    <n v="18370000"/>
    <n v="18370000"/>
    <n v="0"/>
    <n v="18370000"/>
    <s v="23FRF31432"/>
    <s v="To contract the replacement of the Unified Nevada Information Technology for Youth (UNITY) system."/>
    <s v="Funds to replace the UNITY system which is Nevada's federally required electronic child welfare case management tool and holds the official case records for all children and families served by child welfare agencies_x000a_in Nevada."/>
    <s v="Funds to replace the UNITY system which is Nevada's federally required electronic child welfare case management tool and holds the official case records for all children and families served by child welfare agencies_x000a_in Nevada."/>
    <s v="With the help of the UNITY Modernization Needs Assessment Project Vendor “KPMG LLP”, DCFS Information Services completed gathering the functional requirements for the below UNITY functional areas:_x000a_1)_x0009_Intake_x000a_2)_x0009_Assessment/Investigation_x000a_3)_x0009_Case Management_x000a_4)_x0009_Med Case Management/Treatment and Case Review_x000a_5)_x0009_Foster Care Services for App Licensing/Licensing Caseload and Resource Availability_x000a_6)_x0009_Placement Stability &amp; Permanency (Make, Maintain, Preserve Placement)_x000a_7)_x0009_Adoptions (Case Management of) and Independent Living_x000a_8)_x0009_Court Processing_x000a_9)_x0009_Eligibility_x000a_10)_x0009_Financial/Provider Management/Payment Processing_x000a_11)_x0009_Child, Guardians, Parents, Resources &amp; Collateral Profile Management_x000a_12)_x0009_Security_x000a_13)_x0009_Worker Workflows_x000a_14)_x0009_Data Management and Data Quality_x000a_15)_x0009_Forms_x000a_16)_x0009_System Interfaces_x000a_17)_x0009_Reporting and Analytics_x000a__x000a_Upcoming Workshop Schedule:_x000a_Juvenile Justice (Part 2) – Week of December 2nd_x000a_The vendor KPMG LLP provided DCFS the following deliverables (Deliverable Expectations Documents (DED) – 1st Draft) related to the Child Welfare Information System  which are currently being reviewed by the Stakeholders._x000a_1._x0009_Requirements_x000a_2._x0009_Process Flows_x000a_3._x0009_Matrix"/>
    <x v="1"/>
    <n v="849894.32"/>
    <m/>
    <n v="849894.32"/>
    <n v="258264.3"/>
    <n v="375060"/>
    <n v="633324.30000000005"/>
    <n v="3.4476009798584652E-2"/>
    <n v="0"/>
    <n v="18370000"/>
    <n v="0"/>
    <n v="17520105.68"/>
    <s v="One Time Funding"/>
    <s v="N/A"/>
    <s v="N/A"/>
    <s v="No"/>
    <x v="0"/>
    <x v="0"/>
  </r>
  <r>
    <x v="5"/>
    <s v="23WINIC01"/>
    <s v="DCFS - Wraparound Authority/intensive Care Coordination - Amendment #4 Reduced amount of award by $348"/>
    <n v="3146"/>
    <d v="2022-08-18T00:00:00"/>
    <d v="2026-12-31T00:00:00"/>
    <n v="1596"/>
    <n v="0.63095238095238093"/>
    <n v="14650032"/>
    <n v="-348"/>
    <n v="1718114.7"/>
    <n v="16367798.699999999"/>
    <n v="14650032"/>
    <n v="1717766.6999999993"/>
    <n v="14650032"/>
    <s v="23FR31454 plus L01 SFY 24"/>
    <s v="Provide intensive care coordination for a subset of youth who would benefit from the highest level of intensive care coordination that is beyond the scope of services the WIN model is designed to provide. "/>
    <s v="Youth that have been relinquished by their parents due to the intensity of their needs, those at extremely high risk of relinquishment, and those living in emergency shelters or temporary foster and alternative living arrangements."/>
    <s v="Youth that have been relinquished by their parents due to the intensity of their needs, those at extremely high risk of relinquishment, and those living in emergency shelters or temporary foster and alternative living arrangements."/>
    <s v="Contract with Magellan has been implemented and went live on 02/01/2024.  October 2024 was adj to reconcile to SFY 24 RFR plus YTD expenses in SFY 25 - Salaries and employee drive cost from Cat 04 &amp; 26 from SFY 24 was not included."/>
    <x v="1"/>
    <n v="14650032"/>
    <m/>
    <n v="14650032"/>
    <n v="3218245.88"/>
    <n v="64166.5"/>
    <n v="3282412.38"/>
    <n v="0.22405496315639448"/>
    <m/>
    <n v="14650032"/>
    <n v="0"/>
    <n v="0"/>
    <s v="One Time Funding"/>
    <n v="101"/>
    <s v="N/A"/>
    <s v="No"/>
    <x v="0"/>
    <x v="4"/>
  </r>
  <r>
    <x v="5"/>
    <s v="24CAMR01"/>
    <s v="Camera Security Replacement Projects - Summit View Youth Center and Northern Nevada Youth Center"/>
    <n v="1383"/>
    <d v="2024-01-29T00:00:00"/>
    <d v="2025-06-30T00:00:00"/>
    <n v="518"/>
    <n v="0.92277992277992282"/>
    <n v="873360"/>
    <n v="0"/>
    <n v="0"/>
    <n v="873360"/>
    <n v="873360"/>
    <n v="0"/>
    <n v="873360"/>
    <s v="24FRF13831"/>
    <s v="This request includes the replacement of the current functional and non-functional video devices with new cameras, mounts and recording servers.  This is an urgent need to get the system federally compliant."/>
    <s v="This request includes the replacement of the current functional and non-functional video devices with new cameras, mounts and recording servers.  This is an urgent need to get the system federally compliant."/>
    <s v="This request includes the replacement of the current functional and non-functional video devices with new cameras, mounts and recording servers.  This is an urgent need to get the system federally compliant."/>
    <s v="The contract for Northern NV Youth Center (NYTC) camera system in the amount of $237,331 was approved at the 7/9/24 BOE meeting with an anticipated completion date of 12/31/24.  The quote for Summit View's camera system is $390,165.49 and the contract will be considered at the 12/10/24 BOE meeting, with an anticipated completion date of 3/31/2025.  In addition to the 2 contracts for the camera system, switches were needed and purchased for the NYTC Camera System.  The balance of the ARPA funding will be used to purchase body cameras at both facilities."/>
    <x v="1"/>
    <n v="873360"/>
    <m/>
    <n v="873360"/>
    <n v="118665.32"/>
    <n v="269248.84999999998"/>
    <n v="387914.17"/>
    <n v="0.44416296830631125"/>
    <n v="0"/>
    <n v="873360"/>
    <n v="0"/>
    <n v="0"/>
    <s v="One Time Funding"/>
    <s v="N/A"/>
    <s v="N/A"/>
    <s v="Yes"/>
    <x v="0"/>
    <x v="0"/>
  </r>
  <r>
    <x v="5"/>
    <s v="24CHINA02"/>
    <s v="China Springs Youth Camp - System of Care Services"/>
    <n v="3147"/>
    <d v="2023-07-01T00:00:00"/>
    <d v="2025-06-30T00:00:00"/>
    <n v="730"/>
    <n v="0.9452054794520548"/>
    <n v="797698"/>
    <n v="0"/>
    <n v="0"/>
    <n v="797698"/>
    <n v="797698"/>
    <n v="0"/>
    <n v="797698"/>
    <s v="L01 - SFY 24"/>
    <s v=" Restoration - restore 5 separate positions."/>
    <s v="Services to youth 12-18 and their families in the sixteen counties serviced by the Camp (all Counties except Clark) with substance use and mental health issues to reduce recidivism into the juvenile justice system. "/>
    <s v="Services to youth 12-18 and their families in the sixteen counties serviced by the Camp (all Counties except Clark) with substance use and mental health issues to reduce recidivism into the juvenile justice system. "/>
    <s v="Funding for positions that have already been hired through the restoration of positions. Subaward has been finalized with County of Douglas on 1/19/24. Reimbursement requests are being submitted . "/>
    <x v="1"/>
    <n v="797698"/>
    <m/>
    <n v="797698"/>
    <n v="733652.49000000011"/>
    <n v="0"/>
    <n v="733652.49000000011"/>
    <n v="0.91971208402177274"/>
    <n v="0"/>
    <n v="797698"/>
    <n v="0"/>
    <n v="0"/>
    <s v="One Time Funding"/>
    <s v="N/A"/>
    <s v="N/A"/>
    <s v="No"/>
    <x v="1"/>
    <x v="4"/>
  </r>
  <r>
    <x v="5"/>
    <s v="24VOCVP01"/>
    <s v="Victims of Crime Program"/>
    <n v="4895"/>
    <d v="2023-07-01T00:00:00"/>
    <d v="2025-06-30T00:00:00"/>
    <n v="730"/>
    <n v="0.9452054794520548"/>
    <n v="575346"/>
    <n v="0"/>
    <n v="0"/>
    <n v="575346"/>
    <n v="575346"/>
    <n v="0"/>
    <n v="575346"/>
    <s v="L01 SFY 24 - $134,136; and L01 SFY 25 - $437,210"/>
    <s v="Sub-award to Victims of Crime Service Providers."/>
    <s v="VOCA grant funding has decreased significantly over the last three years. Continue to provide support to victims of crime in Nevada."/>
    <s v="Continue to provide support to victims of crime in Nevada. "/>
    <s v="Funding will be used for Victim of Crime claims and paid in SFY24 QTR3. Funding will be fully expended by 12/31/24."/>
    <x v="0"/>
    <n v="575346"/>
    <m/>
    <n v="575346"/>
    <n v="575346"/>
    <n v="0"/>
    <n v="575346"/>
    <n v="1"/>
    <n v="0"/>
    <n v="575346"/>
    <n v="0"/>
    <n v="0"/>
    <s v="One Time Funding"/>
    <n v="0"/>
    <s v="N/A"/>
    <s v="No"/>
    <x v="0"/>
    <x v="3"/>
  </r>
  <r>
    <x v="5"/>
    <s v="24CMH9A01"/>
    <s v="Building 9 Renovation West Charleston Children's Mental Health Campus"/>
    <n v="3646"/>
    <d v="2024-06-13T00:00:00"/>
    <d v="2026-12-31T00:00:00"/>
    <n v="931"/>
    <n v="0.36734693877551022"/>
    <n v="3888162"/>
    <n v="0"/>
    <n v="0"/>
    <n v="3888162"/>
    <n v="3888162"/>
    <n v="0"/>
    <n v="3888162"/>
    <s v="25FRF36461"/>
    <s v="State Public Works  - design and construct kitchen and bathroom renovations and window replacements at the Southern Nevada Child and Adolescent Services West Charleston , Building 9"/>
    <s v="This request will ensure the safety and well-being of the youth being treated at the West Charleston Children's Mental Health campus.  "/>
    <s v="Clark County is currently contracting with a private vendor to provide services to boys with autism spectrum disorder in a facility on the West Charleston Campus. Similar services are needed for girls, and renovation of this facility will allow DCFS to provide much needed services for these youth with the intent that they are able to reunify with their families or have a successful placement in another setting on the continuum of care for youth with behavioral challenges. _x000a_"/>
    <s v="New NOA - work program approved at the June 13, 2024 Legislative Interim Finance Committee.  Signed subaward #21027-22-10 9was issued to Silver State Pediatrics on 10/24/24  in the amount of $3,888,162 for the Building 9 Renovation on the West Charleston Children's Mental Health Campus.  Going to the 12/12/24 IFC Meeting is work program 25FRF36464 which de-obligates $3,804,562.  Expenses totaling $83,600 will be reimbursed to Silver State Pediatrics for invoices paid.  upon approval of the above referenced work program, this ARPA allocation balance of $3,804,562 will be de-obligated."/>
    <x v="1"/>
    <n v="3888162"/>
    <m/>
    <n v="3888162"/>
    <n v="83600"/>
    <n v="0"/>
    <n v="83600"/>
    <n v="0"/>
    <n v="0"/>
    <n v="3888162"/>
    <n v="0"/>
    <n v="0"/>
    <s v="N/A "/>
    <s v="N/A"/>
    <s v="N/A"/>
    <s v="Yes"/>
    <x v="4"/>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1DB25D-82B9-494E-B074-2645BFB7EFE6}" name="PivotTable5"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65:C72" firstHeaderRow="0" firstDataRow="1" firstDataCol="1"/>
  <pivotFields count="38">
    <pivotField axis="axisRow" compact="0" outline="0" showAll="0">
      <items count="7">
        <item x="0"/>
        <item x="1"/>
        <item x="2"/>
        <item x="3"/>
        <item x="4"/>
        <item x="5"/>
        <item t="default"/>
      </items>
    </pivotField>
    <pivotField compact="0" outline="0" showAll="0"/>
    <pivotField compact="0" outline="0" showAll="0"/>
    <pivotField compact="0" outline="0" showAll="0"/>
    <pivotField compact="0" numFmtId="14" outline="0" showAll="0"/>
    <pivotField compact="0" numFmtId="14" outline="0" showAll="0"/>
    <pivotField compact="0" numFmtId="1" outline="0" showAll="0"/>
    <pivotField compact="0" numFmtId="9" outline="0" showAll="0"/>
    <pivotField compact="0" outline="0" showAll="0"/>
    <pivotField compact="0"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44" outline="0" showAll="0"/>
    <pivotField compact="0" outline="0" showAll="0"/>
    <pivotField compact="0" outline="0" showAll="0"/>
    <pivotField dataField="1" compact="0" numFmtId="44" outline="0" showAll="0"/>
    <pivotField compact="0" outline="0" showAll="0"/>
    <pivotField compact="0" outline="0" showAll="0"/>
    <pivotField dataField="1" compact="0" numFmtId="44"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0"/>
  </rowFields>
  <rowItems count="7">
    <i>
      <x/>
    </i>
    <i>
      <x v="1"/>
    </i>
    <i>
      <x v="2"/>
    </i>
    <i>
      <x v="3"/>
    </i>
    <i>
      <x v="4"/>
    </i>
    <i>
      <x v="5"/>
    </i>
    <i t="grand">
      <x/>
    </i>
  </rowItems>
  <colFields count="1">
    <field x="-2"/>
  </colFields>
  <colItems count="2">
    <i>
      <x/>
    </i>
    <i i="1">
      <x v="1"/>
    </i>
  </colItems>
  <dataFields count="2">
    <dataField name="Sum of Revised Approved Budget" fld="29" baseField="0" baseItem="0"/>
    <dataField name="Sum of Total Expended_x000a_DO NOT HARDCODE" fld="26"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9BC85C9-8DA1-415A-B105-CFAD3C900DC6}" name="PivotTable6"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A2" firstHeaderRow="1" firstDataRow="1" firstDataCol="0"/>
  <pivotFields count="38">
    <pivotField dataField="1" showAll="0"/>
    <pivotField showAll="0"/>
    <pivotField showAll="0"/>
    <pivotField showAll="0"/>
    <pivotField numFmtId="14" showAll="0"/>
    <pivotField numFmtId="14" showAll="0"/>
    <pivotField numFmtId="1" showAll="0"/>
    <pivotField numFmtId="9" showAll="0"/>
    <pivotField showAll="0"/>
    <pivotField showAll="0"/>
    <pivotField showAll="0"/>
    <pivotField numFmtId="44" showAll="0"/>
    <pivotField showAll="0"/>
    <pivotField showAll="0"/>
    <pivotField numFmtId="44" showAll="0"/>
    <pivotField showAll="0"/>
    <pivotField showAll="0"/>
    <pivotField showAll="0"/>
    <pivotField showAll="0"/>
    <pivotField showAll="0"/>
    <pivotField showAll="0"/>
    <pivotField showAll="0"/>
    <pivotField showAll="0"/>
    <pivotField numFmtId="44" showAll="0"/>
    <pivotField showAll="0"/>
    <pivotField showAll="0"/>
    <pivotField numFmtId="44" showAll="0"/>
    <pivotField showAll="0"/>
    <pivotField showAll="0"/>
    <pivotField numFmtId="44" showAll="0"/>
    <pivotField showAll="0"/>
    <pivotField numFmtId="44" showAll="0"/>
    <pivotField showAll="0"/>
    <pivotField showAll="0"/>
    <pivotField showAll="0"/>
    <pivotField showAll="0"/>
    <pivotField showAll="0"/>
    <pivotField showAll="0"/>
  </pivotFields>
  <rowItems count="1">
    <i/>
  </rowItems>
  <colItems count="1">
    <i/>
  </colItems>
  <dataFields count="1">
    <dataField name="Count of Agency" fld="0" subtotal="count" baseField="2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4C00DBE-1D5E-4AF6-AD5E-12B0285723C5}" name="PivotTable2"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2:B38" firstHeaderRow="1" firstDataRow="1" firstDataCol="1"/>
  <pivotFields count="38">
    <pivotField compact="0" outline="0" showAll="0"/>
    <pivotField compact="0" outline="0" showAll="0"/>
    <pivotField compact="0" outline="0" showAll="0"/>
    <pivotField compact="0" outline="0" showAll="0"/>
    <pivotField compact="0" numFmtId="14" outline="0" showAll="0"/>
    <pivotField compact="0" numFmtId="14" outline="0" showAll="0"/>
    <pivotField compact="0" numFmtId="1" outline="0" showAll="0"/>
    <pivotField compact="0" numFmtId="9" outline="0" showAll="0"/>
    <pivotField compact="0" outline="0" showAll="0"/>
    <pivotField compact="0"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compact="0" outline="0" showAll="0"/>
    <pivotField compact="0" numFmtId="44" outline="0" showAll="0"/>
    <pivotField compact="0" outline="0" showAll="0"/>
    <pivotField compact="0" numFmtId="44" outline="0" showAll="0"/>
    <pivotField compact="0" numFmtId="44" outline="0" showAll="0"/>
    <pivotField compact="0" outline="0" showAll="0"/>
    <pivotField compact="0" numFmtId="44" outline="0" showAll="0"/>
    <pivotField compact="0" outline="0" showAll="0"/>
    <pivotField compact="0" outline="0" showAll="0"/>
    <pivotField dataField="1" compact="0" numFmtId="44" outline="0" showAll="0"/>
    <pivotField compact="0" outline="0" showAll="0"/>
    <pivotField compact="0" numFmtId="44" outline="0" showAll="0"/>
    <pivotField compact="0" outline="0" showAll="0"/>
    <pivotField compact="0" outline="0" showAll="0"/>
    <pivotField compact="0" outline="0" showAll="0"/>
    <pivotField compact="0" outline="0" showAll="0"/>
    <pivotField axis="axisRow" compact="0" outline="0" showAll="0">
      <items count="6">
        <item x="2"/>
        <item x="1"/>
        <item x="0"/>
        <item x="3"/>
        <item x="4"/>
        <item t="default"/>
      </items>
    </pivotField>
    <pivotField compact="0" outline="0" showAll="0"/>
  </pivotFields>
  <rowFields count="1">
    <field x="36"/>
  </rowFields>
  <rowItems count="6">
    <i>
      <x/>
    </i>
    <i>
      <x v="1"/>
    </i>
    <i>
      <x v="2"/>
    </i>
    <i>
      <x v="3"/>
    </i>
    <i>
      <x v="4"/>
    </i>
    <i t="grand">
      <x/>
    </i>
  </rowItems>
  <colItems count="1">
    <i/>
  </colItems>
  <dataFields count="1">
    <dataField name="Sum of Revised Approved Budget" fld="29" baseField="0" baseItem="0" numFmtId="43"/>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D876FC9-46B7-4028-AC29-E551A8ECDF66}" name="PivotTable3"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5:B52" firstHeaderRow="1" firstDataRow="1" firstDataCol="1"/>
  <pivotFields count="38">
    <pivotField compact="0" outline="0" showAll="0"/>
    <pivotField compact="0" outline="0" showAll="0"/>
    <pivotField compact="0" outline="0" showAll="0"/>
    <pivotField compact="0" outline="0" showAll="0"/>
    <pivotField compact="0" numFmtId="14" outline="0" showAll="0"/>
    <pivotField compact="0" numFmtId="14" outline="0" showAll="0"/>
    <pivotField compact="0" numFmtId="1" outline="0" showAll="0"/>
    <pivotField compact="0" numFmtId="9" outline="0" showAll="0"/>
    <pivotField compact="0" outline="0" showAll="0"/>
    <pivotField compact="0"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compact="0" outline="0" showAll="0"/>
    <pivotField compact="0" numFmtId="44" outline="0" showAll="0"/>
    <pivotField compact="0" outline="0" showAll="0"/>
    <pivotField compact="0" numFmtId="44" outline="0" showAll="0"/>
    <pivotField compact="0" numFmtId="44" outline="0" showAll="0"/>
    <pivotField compact="0" outline="0" showAll="0"/>
    <pivotField compact="0" numFmtId="44" outline="0" showAll="0"/>
    <pivotField compact="0" outline="0" showAll="0"/>
    <pivotField compact="0" outline="0" showAll="0"/>
    <pivotField dataField="1" compact="0" numFmtId="44"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axis="axisRow" compact="0" outline="0" showAll="0">
      <items count="7">
        <item x="4"/>
        <item x="5"/>
        <item x="0"/>
        <item x="2"/>
        <item x="3"/>
        <item x="1"/>
        <item t="default"/>
      </items>
    </pivotField>
  </pivotFields>
  <rowFields count="1">
    <field x="37"/>
  </rowFields>
  <rowItems count="7">
    <i>
      <x/>
    </i>
    <i>
      <x v="1"/>
    </i>
    <i>
      <x v="2"/>
    </i>
    <i>
      <x v="3"/>
    </i>
    <i>
      <x v="4"/>
    </i>
    <i>
      <x v="5"/>
    </i>
    <i t="grand">
      <x/>
    </i>
  </rowItems>
  <colItems count="1">
    <i/>
  </colItems>
  <dataFields count="1">
    <dataField name="Sum of Revised Approved Budget" fld="29" baseField="0" baseItem="0" numFmtId="43"/>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96237ECB-13AB-4826-9F54-D2494CD2705D}" name="PivotTable7"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8:C26" firstHeaderRow="1" firstDataRow="2" firstDataCol="1"/>
  <pivotFields count="38">
    <pivotField compact="0" outline="0" showAll="0"/>
    <pivotField compact="0" outline="0" showAll="0"/>
    <pivotField compact="0" outline="0" showAll="0"/>
    <pivotField compact="0" outline="0" showAll="0"/>
    <pivotField compact="0" numFmtId="14" outline="0" showAll="0"/>
    <pivotField compact="0" numFmtId="14" outline="0" showAll="0"/>
    <pivotField compact="0" numFmtId="1" outline="0" showAll="0"/>
    <pivotField compact="0" numFmtId="9" outline="0" showAll="0"/>
    <pivotField compact="0" outline="0" showAll="0"/>
    <pivotField compact="0"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axis="axisCol" compact="0" outline="0" showAll="0" defaultSubtotal="0">
      <items count="12">
        <item x="2"/>
        <item h="1" x="0"/>
        <item h="1" x="1"/>
        <item h="1" x="8"/>
        <item h="1" m="1" x="11"/>
        <item h="1" x="5"/>
        <item h="1" x="6"/>
        <item h="1" m="1" x="10"/>
        <item h="1" x="3"/>
        <item h="1" x="4"/>
        <item h="1" m="1" x="9"/>
        <item h="1" x="7"/>
      </items>
    </pivotField>
    <pivotField compact="0" outline="0" showAll="0"/>
    <pivotField compact="0" outline="0" showAll="0"/>
    <pivotField compact="0" numFmtId="44" outline="0" showAll="0"/>
    <pivotField compact="0" numFmtId="44"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numFmtId="44" outline="0" showAll="0"/>
    <pivotField compact="0" outline="0" showAll="0"/>
    <pivotField compact="0" outline="0" showAll="0"/>
    <pivotField compact="0" outline="0" showAll="0"/>
    <pivotField compact="0" outline="0" showAll="0"/>
    <pivotField dataField="1" compact="0" outline="0" showAll="0"/>
    <pivotField axis="axisRow" compact="0" outline="0" showAll="0">
      <items count="7">
        <item x="4"/>
        <item x="5"/>
        <item x="0"/>
        <item x="2"/>
        <item x="3"/>
        <item x="1"/>
        <item t="default"/>
      </items>
    </pivotField>
  </pivotFields>
  <rowFields count="1">
    <field x="37"/>
  </rowFields>
  <rowItems count="7">
    <i>
      <x/>
    </i>
    <i>
      <x v="1"/>
    </i>
    <i>
      <x v="2"/>
    </i>
    <i>
      <x v="3"/>
    </i>
    <i>
      <x v="4"/>
    </i>
    <i>
      <x v="5"/>
    </i>
    <i t="grand">
      <x/>
    </i>
  </rowItems>
  <colFields count="1">
    <field x="20"/>
  </colFields>
  <colItems count="2">
    <i>
      <x/>
    </i>
    <i t="grand">
      <x/>
    </i>
  </colItems>
  <dataFields count="1">
    <dataField name="Count of Area Served: Urban (Clark/Washoe), Rural or Statewide" fld="3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C90BC06-33D3-42CA-940C-0448C894257B}" name="PivotTable4"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B12" firstHeaderRow="1" firstDataRow="1" firstDataCol="1"/>
  <pivotFields count="38">
    <pivotField dataField="1" compact="0" outline="0" showAll="0"/>
    <pivotField compact="0" outline="0" showAll="0"/>
    <pivotField compact="0" outline="0" showAll="0"/>
    <pivotField compact="0" outline="0" showAll="0"/>
    <pivotField compact="0" numFmtId="14" outline="0" showAll="0"/>
    <pivotField compact="0" numFmtId="14" outline="0" showAll="0"/>
    <pivotField compact="0" numFmtId="1" outline="0" showAll="0"/>
    <pivotField compact="0" numFmtId="9" outline="0" showAll="0"/>
    <pivotField compact="0" outline="0" showAll="0"/>
    <pivotField compact="0"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44" outline="0" showAll="0"/>
    <pivotField compact="0" numFmtId="44" outline="0" showAll="0"/>
    <pivotField compact="0" outline="0" showAll="0"/>
    <pivotField compact="0" numFmtId="44" outline="0" showAll="0"/>
    <pivotField compact="0" outline="0" showAll="0"/>
    <pivotField compact="0" outline="0" showAll="0"/>
    <pivotField compact="0" numFmtId="44" outline="0" showAll="0"/>
    <pivotField compact="0" outline="0" showAll="0"/>
    <pivotField compact="0" numFmtId="44" outline="0" showAll="0"/>
    <pivotField compact="0" outline="0" showAll="0"/>
    <pivotField compact="0" outline="0" showAll="0"/>
    <pivotField compact="0" outline="0" showAll="0"/>
    <pivotField compact="0" outline="0" showAll="0"/>
    <pivotField compact="0" outline="0" showAll="0"/>
    <pivotField axis="axisRow" compact="0" outline="0" showAll="0">
      <items count="7">
        <item x="4"/>
        <item x="5"/>
        <item x="0"/>
        <item x="2"/>
        <item x="3"/>
        <item x="1"/>
        <item t="default"/>
      </items>
    </pivotField>
  </pivotFields>
  <rowFields count="1">
    <field x="37"/>
  </rowFields>
  <rowItems count="7">
    <i>
      <x/>
    </i>
    <i>
      <x v="1"/>
    </i>
    <i>
      <x v="2"/>
    </i>
    <i>
      <x v="3"/>
    </i>
    <i>
      <x v="4"/>
    </i>
    <i>
      <x v="5"/>
    </i>
    <i t="grand">
      <x/>
    </i>
  </rowItems>
  <colItems count="1">
    <i/>
  </colItems>
  <dataFields count="1">
    <dataField name="Count of Agency" fld="0" subtotal="count" baseField="37" baseItem="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C3" dT="2024-04-22T19:13:45.94" personId="{E2231ECC-C676-45E9-833C-729BC9D58A52}" id="{37BE7CCA-E6C7-40BA-AE1B-AF8E53205A9C}">
    <text>Work Program #24FRF31951 was submitted in SFY24 to de-obligate $620,664 in authority due to $620,663.74 in Prior Year Expenditures (SFY23)</text>
  </threadedComment>
  <threadedComment ref="AC4" dT="2024-04-22T19:18:24.45" personId="{E2231ECC-C676-45E9-833C-729BC9D58A52}" id="{D1C1E6D7-609A-4570-9FFC-1E5F95DA6A8C}">
    <text>SFY24 L01 budget only includes $324,450 in authority</text>
  </threadedComment>
  <threadedComment ref="AC7" dT="2024-04-22T19:29:13.31" personId="{E2231ECC-C676-45E9-833C-729BC9D58A52}" id="{9FF7749B-EC37-4A4B-A3AC-A3F7367441A7}">
    <text>GFO approved de-obligation of $420.30 on 9/20/23 for SFY23</text>
  </threadedComment>
  <threadedComment ref="AC8" dT="2024-04-22T19:26:25.59" personId="{E2231ECC-C676-45E9-833C-729BC9D58A52}" id="{2D8816CC-793A-45BF-9229-A00EF7976835}">
    <text>GFO Approved De-obligation of $529 9/30/23 for SFY23</text>
  </threadedComment>
  <threadedComment ref="F76" dT="2024-01-29T23:38:25.31" personId="{3967A72E-92C7-49E4-90C6-C452EE5A01C1}" id="{30A05FF9-F2EF-49F9-B190-D8E0D77D7493}">
    <text>GFO extended to 10/31/2026</text>
  </threadedComment>
  <threadedComment ref="W91" dT="2024-01-30T00:18:24.59" personId="{6B80C3EB-5741-4B80-BB25-4CDC0B540C84}" id="{40CE3064-D6F4-4669-9ADC-99F9AC41DE15}">
    <text>SG26070 executed 11/02/2023</text>
  </threadedComment>
  <threadedComment ref="AC104" dT="2024-04-09T01:10:38.03" personId="{49EC1986-8AF6-45BD-98A2-03DE5DAE410C}" id="{5D213868-0F08-433F-9239-F79CE402A8DB}">
    <text>Remaining balance from SFY22 of $232,558.65 was de-obligated by GFO on 07/14/23. No work program completed.</text>
  </threadedComment>
  <threadedComment ref="AC105" dT="2024-04-09T01:09:33.61" personId="{49EC1986-8AF6-45BD-98A2-03DE5DAE410C}" id="{505E4241-E69D-49DA-A53C-6A3396E68B7F}">
    <text>Remaining balance from SFY22 of $237,066.34 was de-obligated by GFO on 07/14/23. No work program completed.</text>
  </threadedComment>
  <threadedComment ref="AC107" dT="2024-04-09T01:02:21.65" personId="{49EC1986-8AF6-45BD-98A2-03DE5DAE410C}" id="{E45C1079-783F-48B9-9E08-BF844F0AF8FC}">
    <text>Remaining balance of $3,101.92 was de-obligated by GFO on 7/14/23. No work program completed.</text>
  </threadedComment>
  <threadedComment ref="AC133" dT="2024-04-09T00:53:39.91" personId="{49EC1986-8AF6-45BD-98A2-03DE5DAE410C}" id="{7D33CBE7-7F2E-415D-9C63-76FE2D5C4919}">
    <text>Remaining balance of $48,000 was de-obligated by GFO on 11/03/23. No work program completed.</text>
  </threadedComment>
  <threadedComment ref="AC141" dT="2024-04-09T00:51:39.01" personId="{49EC1986-8AF6-45BD-98A2-03DE5DAE410C}" id="{6E78CFAC-87D5-4469-BADE-BB2A86BB9928}">
    <text>Remaining balance of $200,228 was de-obligated by GFO on 10/10/23. No work program completed.</text>
  </threadedComment>
  <threadedComment ref="AC142" dT="2024-04-09T00:50:22.58" personId="{49EC1986-8AF6-45BD-98A2-03DE5DAE410C}" id="{4A2BDA52-3795-4DC2-A6E8-FD73C88424B2}">
    <text>Remaining balance of $37,462 was de-obligated by GFO on 10/10/23. No work program completed.</text>
  </threadedComment>
  <threadedComment ref="AC143" dT="2024-04-09T00:45:34.73" personId="{49EC1986-8AF6-45BD-98A2-03DE5DAE410C}" id="{116C981D-6B87-4606-98D1-FA3937EA0DD2}">
    <text xml:space="preserve">De-obligation approved by GFO on 7/14/23. No work program completed. </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namedSheetView" Target="../namedSheetViews/namedSheetView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0F705-34EB-4966-AE47-BBE6EB4FD982}">
  <dimension ref="A1:H28"/>
  <sheetViews>
    <sheetView workbookViewId="0"/>
  </sheetViews>
  <sheetFormatPr defaultRowHeight="14.4" x14ac:dyDescent="0.3"/>
  <cols>
    <col min="1" max="1" width="4" bestFit="1" customWidth="1"/>
    <col min="2" max="2" width="5.44140625" bestFit="1" customWidth="1"/>
    <col min="3" max="3" width="12.33203125" bestFit="1" customWidth="1"/>
    <col min="4" max="4" width="23.5546875" bestFit="1" customWidth="1"/>
    <col min="5" max="5" width="50.5546875" style="1" customWidth="1"/>
    <col min="6" max="6" width="53.44140625" customWidth="1"/>
    <col min="7" max="7" width="46.44140625" style="1" customWidth="1"/>
    <col min="8" max="8" width="25.5546875" customWidth="1"/>
  </cols>
  <sheetData>
    <row r="1" spans="1:8" x14ac:dyDescent="0.3">
      <c r="A1" t="s">
        <v>0</v>
      </c>
      <c r="B1" t="s">
        <v>1</v>
      </c>
      <c r="C1" t="s">
        <v>2</v>
      </c>
      <c r="D1" t="s">
        <v>3</v>
      </c>
      <c r="E1" s="1" t="s">
        <v>4</v>
      </c>
      <c r="F1" t="s">
        <v>5</v>
      </c>
      <c r="G1" s="1" t="s">
        <v>6</v>
      </c>
      <c r="H1" t="s">
        <v>7</v>
      </c>
    </row>
    <row r="2" spans="1:8" ht="28.8" x14ac:dyDescent="0.3">
      <c r="A2" t="s">
        <v>8</v>
      </c>
      <c r="B2" t="s">
        <v>9</v>
      </c>
      <c r="C2" t="s">
        <v>10</v>
      </c>
      <c r="D2" t="s">
        <v>11</v>
      </c>
      <c r="E2" s="1" t="s">
        <v>12</v>
      </c>
      <c r="F2" s="1" t="s">
        <v>13</v>
      </c>
      <c r="G2" s="1" t="s">
        <v>13</v>
      </c>
      <c r="H2" s="1" t="s">
        <v>14</v>
      </c>
    </row>
    <row r="3" spans="1:8" ht="28.8" x14ac:dyDescent="0.3">
      <c r="A3" t="s">
        <v>15</v>
      </c>
      <c r="B3" t="s">
        <v>15</v>
      </c>
      <c r="C3" t="s">
        <v>16</v>
      </c>
      <c r="D3" t="s">
        <v>17</v>
      </c>
      <c r="E3" s="1" t="s">
        <v>18</v>
      </c>
      <c r="F3" s="1" t="s">
        <v>19</v>
      </c>
      <c r="G3" s="1" t="s">
        <v>19</v>
      </c>
      <c r="H3" s="1" t="s">
        <v>20</v>
      </c>
    </row>
    <row r="4" spans="1:8" x14ac:dyDescent="0.3">
      <c r="B4" t="s">
        <v>21</v>
      </c>
      <c r="D4" t="s">
        <v>22</v>
      </c>
      <c r="E4" s="1" t="s">
        <v>23</v>
      </c>
      <c r="F4" s="1" t="s">
        <v>24</v>
      </c>
      <c r="G4" s="1" t="s">
        <v>24</v>
      </c>
      <c r="H4" s="1" t="s">
        <v>25</v>
      </c>
    </row>
    <row r="5" spans="1:8" ht="28.8" x14ac:dyDescent="0.3">
      <c r="D5" t="s">
        <v>26</v>
      </c>
      <c r="E5" s="1" t="s">
        <v>27</v>
      </c>
      <c r="F5" s="1" t="s">
        <v>28</v>
      </c>
      <c r="G5" s="1" t="s">
        <v>28</v>
      </c>
    </row>
    <row r="6" spans="1:8" ht="28.8" x14ac:dyDescent="0.3">
      <c r="E6" s="1" t="s">
        <v>29</v>
      </c>
      <c r="F6" s="1" t="s">
        <v>30</v>
      </c>
      <c r="G6" s="1" t="s">
        <v>30</v>
      </c>
    </row>
    <row r="7" spans="1:8" ht="28.8" x14ac:dyDescent="0.3">
      <c r="E7" s="1" t="s">
        <v>31</v>
      </c>
      <c r="F7" s="1" t="s">
        <v>32</v>
      </c>
      <c r="G7" s="1" t="s">
        <v>32</v>
      </c>
    </row>
    <row r="8" spans="1:8" ht="28.8" x14ac:dyDescent="0.3">
      <c r="E8" s="1" t="s">
        <v>33</v>
      </c>
      <c r="F8" s="1" t="s">
        <v>34</v>
      </c>
      <c r="G8" s="1" t="s">
        <v>34</v>
      </c>
    </row>
    <row r="9" spans="1:8" ht="28.8" x14ac:dyDescent="0.3">
      <c r="E9" s="1" t="s">
        <v>35</v>
      </c>
      <c r="F9" s="1" t="s">
        <v>36</v>
      </c>
      <c r="G9" s="1" t="s">
        <v>36</v>
      </c>
    </row>
    <row r="10" spans="1:8" ht="28.8" x14ac:dyDescent="0.3">
      <c r="E10" s="1" t="s">
        <v>37</v>
      </c>
      <c r="F10" s="1" t="s">
        <v>38</v>
      </c>
      <c r="G10" s="1" t="s">
        <v>38</v>
      </c>
    </row>
    <row r="11" spans="1:8" ht="28.8" x14ac:dyDescent="0.3">
      <c r="E11" s="1" t="s">
        <v>39</v>
      </c>
      <c r="F11" s="1" t="s">
        <v>40</v>
      </c>
      <c r="G11" s="1" t="s">
        <v>40</v>
      </c>
    </row>
    <row r="12" spans="1:8" ht="28.8" x14ac:dyDescent="0.3">
      <c r="E12" s="1" t="s">
        <v>41</v>
      </c>
      <c r="F12" s="1" t="s">
        <v>42</v>
      </c>
      <c r="G12" s="1" t="s">
        <v>42</v>
      </c>
    </row>
    <row r="13" spans="1:8" x14ac:dyDescent="0.3">
      <c r="E13" s="1" t="s">
        <v>43</v>
      </c>
      <c r="F13" s="1" t="s">
        <v>44</v>
      </c>
      <c r="G13" s="1" t="s">
        <v>44</v>
      </c>
    </row>
    <row r="14" spans="1:8" ht="28.8" x14ac:dyDescent="0.3">
      <c r="E14" s="1" t="s">
        <v>45</v>
      </c>
      <c r="F14" s="1" t="s">
        <v>46</v>
      </c>
      <c r="G14" s="1" t="s">
        <v>46</v>
      </c>
    </row>
    <row r="15" spans="1:8" ht="28.8" x14ac:dyDescent="0.3">
      <c r="E15" s="1" t="s">
        <v>47</v>
      </c>
      <c r="F15" s="1" t="s">
        <v>48</v>
      </c>
      <c r="G15" s="1" t="s">
        <v>48</v>
      </c>
    </row>
    <row r="16" spans="1:8" ht="28.8" x14ac:dyDescent="0.3">
      <c r="E16" s="1" t="s">
        <v>49</v>
      </c>
      <c r="F16" s="1" t="s">
        <v>50</v>
      </c>
      <c r="G16" s="1" t="s">
        <v>50</v>
      </c>
    </row>
    <row r="17" spans="5:7" ht="28.8" x14ac:dyDescent="0.3">
      <c r="E17" s="1" t="s">
        <v>51</v>
      </c>
      <c r="F17" s="1" t="s">
        <v>52</v>
      </c>
      <c r="G17" s="1" t="s">
        <v>52</v>
      </c>
    </row>
    <row r="18" spans="5:7" ht="28.8" x14ac:dyDescent="0.3">
      <c r="E18" s="1" t="s">
        <v>53</v>
      </c>
      <c r="F18" s="1" t="s">
        <v>54</v>
      </c>
      <c r="G18" s="1" t="s">
        <v>54</v>
      </c>
    </row>
    <row r="19" spans="5:7" ht="28.8" x14ac:dyDescent="0.3">
      <c r="E19" s="1" t="s">
        <v>55</v>
      </c>
      <c r="F19" s="1" t="s">
        <v>56</v>
      </c>
      <c r="G19" s="1" t="s">
        <v>56</v>
      </c>
    </row>
    <row r="20" spans="5:7" ht="43.2" x14ac:dyDescent="0.3">
      <c r="E20" s="1" t="s">
        <v>57</v>
      </c>
      <c r="F20" s="1" t="s">
        <v>58</v>
      </c>
      <c r="G20" s="1" t="s">
        <v>58</v>
      </c>
    </row>
    <row r="21" spans="5:7" ht="28.8" x14ac:dyDescent="0.3">
      <c r="E21" s="1" t="s">
        <v>59</v>
      </c>
      <c r="F21" s="1" t="s">
        <v>60</v>
      </c>
      <c r="G21" s="1" t="s">
        <v>60</v>
      </c>
    </row>
    <row r="22" spans="5:7" ht="28.8" x14ac:dyDescent="0.3">
      <c r="E22" s="1" t="s">
        <v>61</v>
      </c>
      <c r="F22" s="1" t="s">
        <v>62</v>
      </c>
      <c r="G22" s="1" t="s">
        <v>62</v>
      </c>
    </row>
    <row r="23" spans="5:7" ht="28.8" x14ac:dyDescent="0.3">
      <c r="E23" s="1" t="s">
        <v>63</v>
      </c>
      <c r="F23" s="1" t="s">
        <v>64</v>
      </c>
      <c r="G23" s="1" t="s">
        <v>64</v>
      </c>
    </row>
    <row r="24" spans="5:7" ht="28.8" x14ac:dyDescent="0.3">
      <c r="E24" s="1" t="s">
        <v>65</v>
      </c>
      <c r="F24" s="1" t="s">
        <v>66</v>
      </c>
      <c r="G24" s="1" t="s">
        <v>66</v>
      </c>
    </row>
    <row r="25" spans="5:7" ht="28.8" x14ac:dyDescent="0.3">
      <c r="E25" s="1" t="s">
        <v>67</v>
      </c>
      <c r="F25" s="1" t="s">
        <v>68</v>
      </c>
      <c r="G25" s="1" t="s">
        <v>68</v>
      </c>
    </row>
    <row r="26" spans="5:7" ht="28.8" x14ac:dyDescent="0.3">
      <c r="E26" s="1" t="s">
        <v>69</v>
      </c>
      <c r="F26" s="1" t="s">
        <v>70</v>
      </c>
      <c r="G26" s="1" t="s">
        <v>70</v>
      </c>
    </row>
    <row r="27" spans="5:7" x14ac:dyDescent="0.3">
      <c r="E27" s="1" t="s">
        <v>71</v>
      </c>
      <c r="F27" s="1" t="s">
        <v>72</v>
      </c>
      <c r="G27" s="1" t="s">
        <v>21</v>
      </c>
    </row>
    <row r="28" spans="5:7" x14ac:dyDescent="0.3">
      <c r="E28" s="1" t="s">
        <v>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E9981-54AD-4893-85D6-50E230D1C908}">
  <sheetPr>
    <tabColor rgb="FFFFFF00"/>
    <pageSetUpPr fitToPage="1"/>
  </sheetPr>
  <dimension ref="A1:AP156"/>
  <sheetViews>
    <sheetView tabSelected="1" zoomScale="80" zoomScaleNormal="80" workbookViewId="0">
      <pane xSplit="4" ySplit="2" topLeftCell="E130" activePane="bottomRight" state="frozen"/>
      <selection pane="topRight" activeCell="E1" sqref="E1"/>
      <selection pane="bottomLeft" activeCell="A3" sqref="A3"/>
      <selection pane="bottomRight" activeCell="C140" sqref="C140"/>
    </sheetView>
  </sheetViews>
  <sheetFormatPr defaultColWidth="9.109375" defaultRowHeight="14.4" customHeight="1" x14ac:dyDescent="0.3"/>
  <cols>
    <col min="1" max="1" width="12.109375" style="121" customWidth="1"/>
    <col min="2" max="2" width="19.44140625" style="121" customWidth="1"/>
    <col min="3" max="3" width="26.5546875" style="121" customWidth="1"/>
    <col min="4" max="4" width="15.5546875" style="121" customWidth="1"/>
    <col min="5" max="6" width="11.5546875" style="121" customWidth="1"/>
    <col min="7" max="7" width="8.44140625" style="121" customWidth="1"/>
    <col min="8" max="8" width="8.5546875" style="123" customWidth="1"/>
    <col min="9" max="14" width="17.6640625" style="123" customWidth="1"/>
    <col min="15" max="15" width="17.33203125" style="121" customWidth="1"/>
    <col min="16" max="16" width="17.33203125" style="124" customWidth="1"/>
    <col min="17" max="17" width="88.88671875" style="125" customWidth="1"/>
    <col min="18" max="18" width="46.88671875" style="121" customWidth="1"/>
    <col min="19" max="19" width="53.44140625" style="121" customWidth="1"/>
    <col min="20" max="20" width="69.88671875" style="158" customWidth="1"/>
    <col min="21" max="21" width="11.109375" style="125" customWidth="1"/>
    <col min="22" max="22" width="19.33203125" style="123" customWidth="1"/>
    <col min="23" max="23" width="24.5546875" style="123" customWidth="1"/>
    <col min="24" max="24" width="18.5546875" style="123" customWidth="1"/>
    <col min="25" max="25" width="20.109375" style="123" customWidth="1"/>
    <col min="26" max="26" width="26.44140625" style="123" customWidth="1"/>
    <col min="27" max="27" width="18.88671875" style="121" customWidth="1"/>
    <col min="28" max="28" width="10.5546875" style="121" customWidth="1"/>
    <col min="29" max="29" width="23.33203125" style="126" customWidth="1"/>
    <col min="30" max="30" width="19.5546875" style="121" customWidth="1"/>
    <col min="31" max="31" width="19.5546875" style="127" customWidth="1"/>
    <col min="32" max="32" width="17.109375" style="128" customWidth="1"/>
    <col min="33" max="33" width="17.109375" style="129" customWidth="1"/>
    <col min="34" max="34" width="26.109375" style="130" customWidth="1"/>
    <col min="35" max="35" width="33.44140625" style="131" customWidth="1"/>
    <col min="36" max="36" width="13.5546875" style="121" customWidth="1"/>
    <col min="37" max="37" width="15" style="121" customWidth="1"/>
    <col min="38" max="38" width="16.88671875" style="121" customWidth="1"/>
    <col min="39" max="39" width="27.33203125" style="121" customWidth="1"/>
    <col min="40" max="40" width="17" style="121" bestFit="1" customWidth="1"/>
    <col min="41" max="41" width="16.5546875" style="121" customWidth="1"/>
    <col min="42" max="16384" width="9.109375" style="121"/>
  </cols>
  <sheetData>
    <row r="1" spans="1:42" x14ac:dyDescent="0.3">
      <c r="A1" s="119" t="s">
        <v>1075</v>
      </c>
      <c r="B1" s="120">
        <v>45748</v>
      </c>
      <c r="E1" s="122" t="s">
        <v>73</v>
      </c>
      <c r="F1" s="122"/>
      <c r="Q1" s="125" t="s">
        <v>74</v>
      </c>
      <c r="Y1" s="123" t="s">
        <v>75</v>
      </c>
      <c r="Z1" s="173" t="s">
        <v>75</v>
      </c>
      <c r="AA1" s="121" t="s">
        <v>75</v>
      </c>
      <c r="AC1" s="126" t="s">
        <v>75</v>
      </c>
      <c r="AD1" s="121" t="s">
        <v>75</v>
      </c>
      <c r="AJ1" s="120"/>
      <c r="AK1" s="120"/>
      <c r="AL1" s="120"/>
    </row>
    <row r="2" spans="1:42" s="140" customFormat="1" ht="87.75" customHeight="1" x14ac:dyDescent="0.3">
      <c r="A2" s="119" t="s">
        <v>76</v>
      </c>
      <c r="B2" s="119" t="s">
        <v>77</v>
      </c>
      <c r="C2" s="119" t="s">
        <v>75</v>
      </c>
      <c r="D2" s="119" t="s">
        <v>78</v>
      </c>
      <c r="E2" s="119" t="s">
        <v>79</v>
      </c>
      <c r="F2" s="119" t="s">
        <v>80</v>
      </c>
      <c r="G2" s="119" t="s">
        <v>81</v>
      </c>
      <c r="H2" s="119" t="s">
        <v>82</v>
      </c>
      <c r="I2" s="132" t="s">
        <v>83</v>
      </c>
      <c r="J2" s="132" t="s">
        <v>84</v>
      </c>
      <c r="K2" s="132" t="s">
        <v>85</v>
      </c>
      <c r="L2" s="132" t="s">
        <v>86</v>
      </c>
      <c r="M2" s="132" t="s">
        <v>87</v>
      </c>
      <c r="N2" s="132" t="s">
        <v>88</v>
      </c>
      <c r="O2" s="167" t="s">
        <v>89</v>
      </c>
      <c r="P2" s="168" t="s">
        <v>90</v>
      </c>
      <c r="Q2" s="119" t="s">
        <v>91</v>
      </c>
      <c r="R2" s="119" t="s">
        <v>92</v>
      </c>
      <c r="S2" s="119" t="s">
        <v>93</v>
      </c>
      <c r="T2" s="159" t="s">
        <v>94</v>
      </c>
      <c r="U2" s="133" t="s">
        <v>95</v>
      </c>
      <c r="V2" s="167" t="s">
        <v>96</v>
      </c>
      <c r="W2" s="167" t="s">
        <v>97</v>
      </c>
      <c r="X2" s="133" t="s">
        <v>98</v>
      </c>
      <c r="Y2" s="167" t="s">
        <v>99</v>
      </c>
      <c r="Z2" s="167" t="s">
        <v>100</v>
      </c>
      <c r="AA2" s="133" t="s">
        <v>101</v>
      </c>
      <c r="AB2" s="134" t="s">
        <v>102</v>
      </c>
      <c r="AC2" s="135" t="s">
        <v>103</v>
      </c>
      <c r="AD2" s="133" t="s">
        <v>104</v>
      </c>
      <c r="AE2" s="132" t="s">
        <v>105</v>
      </c>
      <c r="AF2" s="136" t="s">
        <v>106</v>
      </c>
      <c r="AG2" s="137" t="s">
        <v>107</v>
      </c>
      <c r="AH2" s="134" t="s">
        <v>108</v>
      </c>
      <c r="AI2" s="138" t="s">
        <v>109</v>
      </c>
      <c r="AJ2" s="119" t="s">
        <v>110</v>
      </c>
      <c r="AK2" s="119" t="s">
        <v>111</v>
      </c>
      <c r="AL2" s="119" t="s">
        <v>112</v>
      </c>
      <c r="AM2" s="119" t="s">
        <v>113</v>
      </c>
      <c r="AN2" s="139" t="s">
        <v>114</v>
      </c>
    </row>
    <row r="3" spans="1:42" s="37" customFormat="1" ht="127.5" customHeight="1" x14ac:dyDescent="0.3">
      <c r="A3" s="37">
        <v>400</v>
      </c>
      <c r="B3" s="35" t="s">
        <v>115</v>
      </c>
      <c r="C3" s="35" t="s">
        <v>116</v>
      </c>
      <c r="D3" s="35">
        <v>3195</v>
      </c>
      <c r="E3" s="38">
        <v>44854</v>
      </c>
      <c r="F3" s="38">
        <v>46203</v>
      </c>
      <c r="G3" s="39">
        <f t="shared" ref="G3:G35" si="0">F3-E3</f>
        <v>1349</v>
      </c>
      <c r="H3" s="40">
        <f>IF(U3="Completed",1,($B$1-E3)/G3)</f>
        <v>0.66271312083024458</v>
      </c>
      <c r="I3" s="41">
        <v>15000000</v>
      </c>
      <c r="J3" s="41">
        <v>0</v>
      </c>
      <c r="K3" s="41">
        <v>0</v>
      </c>
      <c r="L3" s="42">
        <f>I3+J3+K3</f>
        <v>15000000</v>
      </c>
      <c r="M3" s="41">
        <v>15000000</v>
      </c>
      <c r="N3" s="42">
        <f>L3-M3</f>
        <v>0</v>
      </c>
      <c r="O3" s="41">
        <v>15000000</v>
      </c>
      <c r="P3" s="41" t="s">
        <v>117</v>
      </c>
      <c r="Q3" s="35" t="s">
        <v>1076</v>
      </c>
      <c r="R3" s="35" t="s">
        <v>21</v>
      </c>
      <c r="S3" s="35" t="s">
        <v>21</v>
      </c>
      <c r="T3" s="35" t="s">
        <v>1077</v>
      </c>
      <c r="U3" s="35" t="s">
        <v>22</v>
      </c>
      <c r="V3" s="41">
        <v>15000000</v>
      </c>
      <c r="W3" s="41">
        <v>0</v>
      </c>
      <c r="X3" s="42">
        <f t="shared" ref="X3:X35" si="1">V3+W3</f>
        <v>15000000</v>
      </c>
      <c r="Y3" s="41">
        <v>8902087.9300000016</v>
      </c>
      <c r="Z3" s="41">
        <v>0</v>
      </c>
      <c r="AA3" s="42">
        <f>Y3+Z3</f>
        <v>8902087.9300000016</v>
      </c>
      <c r="AB3" s="43">
        <f t="shared" ref="AB3:AB34" si="2">AA3/O3</f>
        <v>0.59347252866666678</v>
      </c>
      <c r="AC3" s="41"/>
      <c r="AD3" s="42">
        <f t="shared" ref="AD3:AD35" si="3">O3+AC3</f>
        <v>15000000</v>
      </c>
      <c r="AE3" s="42">
        <f>M3-AD3</f>
        <v>0</v>
      </c>
      <c r="AF3" s="44">
        <f t="shared" ref="AF3:AF8" si="4">AD3-X3</f>
        <v>0</v>
      </c>
      <c r="AG3" s="45" t="s">
        <v>118</v>
      </c>
      <c r="AH3" s="35" t="s">
        <v>21</v>
      </c>
      <c r="AI3" s="35" t="s">
        <v>21</v>
      </c>
      <c r="AJ3" s="35" t="s">
        <v>8</v>
      </c>
      <c r="AK3" s="35" t="s">
        <v>25</v>
      </c>
      <c r="AL3" s="35" t="s">
        <v>119</v>
      </c>
      <c r="AM3" s="35" t="s">
        <v>120</v>
      </c>
      <c r="AN3" s="42">
        <f t="shared" ref="AN3:AN5" si="5">AD3-AA3</f>
        <v>6097912.0699999984</v>
      </c>
    </row>
    <row r="4" spans="1:42" s="37" customFormat="1" ht="144" x14ac:dyDescent="0.3">
      <c r="A4" s="37">
        <v>400</v>
      </c>
      <c r="B4" s="35" t="s">
        <v>121</v>
      </c>
      <c r="C4" s="35" t="s">
        <v>122</v>
      </c>
      <c r="D4" s="35">
        <v>3276</v>
      </c>
      <c r="E4" s="38">
        <v>44854</v>
      </c>
      <c r="F4" s="38">
        <v>46203</v>
      </c>
      <c r="G4" s="39">
        <f t="shared" si="0"/>
        <v>1349</v>
      </c>
      <c r="H4" s="40">
        <f t="shared" ref="H4:H35" si="6">IF(U4="Completed",1,($B$1-E4)/G4)</f>
        <v>0.66271312083024458</v>
      </c>
      <c r="I4" s="41">
        <v>368100</v>
      </c>
      <c r="J4" s="41">
        <v>0</v>
      </c>
      <c r="K4" s="41">
        <v>0</v>
      </c>
      <c r="L4" s="42">
        <f t="shared" ref="L4:L48" si="7">I4+J4+K4</f>
        <v>368100</v>
      </c>
      <c r="M4" s="41">
        <v>368100</v>
      </c>
      <c r="N4" s="42">
        <f t="shared" ref="N4:N48" si="8">L4-M4</f>
        <v>0</v>
      </c>
      <c r="O4" s="41">
        <v>368100</v>
      </c>
      <c r="P4" s="41" t="s">
        <v>123</v>
      </c>
      <c r="Q4" s="35" t="s">
        <v>124</v>
      </c>
      <c r="R4" s="35" t="s">
        <v>21</v>
      </c>
      <c r="S4" s="35" t="s">
        <v>21</v>
      </c>
      <c r="T4" s="35" t="s">
        <v>125</v>
      </c>
      <c r="U4" s="35" t="s">
        <v>17</v>
      </c>
      <c r="V4" s="41">
        <v>254944.8</v>
      </c>
      <c r="W4" s="41">
        <v>0</v>
      </c>
      <c r="X4" s="42">
        <f t="shared" si="1"/>
        <v>254944.8</v>
      </c>
      <c r="Y4" s="41">
        <v>153743.54999999999</v>
      </c>
      <c r="Z4" s="41">
        <v>16083.92</v>
      </c>
      <c r="AA4" s="42">
        <f t="shared" ref="AA4:AA35" si="9">Y4+Z4</f>
        <v>169827.47</v>
      </c>
      <c r="AB4" s="43">
        <f t="shared" si="2"/>
        <v>0.46136232002173322</v>
      </c>
      <c r="AC4" s="46"/>
      <c r="AD4" s="42">
        <f t="shared" si="3"/>
        <v>368100</v>
      </c>
      <c r="AE4" s="42">
        <f t="shared" ref="AE4:AE48" si="10">M4-AD4</f>
        <v>0</v>
      </c>
      <c r="AF4" s="44">
        <f t="shared" si="4"/>
        <v>113155.20000000001</v>
      </c>
      <c r="AG4" s="45" t="s">
        <v>118</v>
      </c>
      <c r="AH4" s="35" t="s">
        <v>21</v>
      </c>
      <c r="AI4" s="35" t="s">
        <v>21</v>
      </c>
      <c r="AJ4" s="35" t="s">
        <v>15</v>
      </c>
      <c r="AK4" s="35" t="s">
        <v>25</v>
      </c>
      <c r="AL4" s="35" t="s">
        <v>126</v>
      </c>
      <c r="AM4" s="35" t="s">
        <v>127</v>
      </c>
      <c r="AN4" s="42">
        <f t="shared" si="5"/>
        <v>198272.53</v>
      </c>
    </row>
    <row r="5" spans="1:42" s="37" customFormat="1" ht="57.6" x14ac:dyDescent="0.3">
      <c r="A5" s="37">
        <v>400</v>
      </c>
      <c r="B5" s="35" t="s">
        <v>128</v>
      </c>
      <c r="C5" s="35" t="s">
        <v>129</v>
      </c>
      <c r="D5" s="35">
        <v>3195</v>
      </c>
      <c r="E5" s="38">
        <v>44790</v>
      </c>
      <c r="F5" s="38">
        <v>45657</v>
      </c>
      <c r="G5" s="39">
        <f t="shared" si="0"/>
        <v>867</v>
      </c>
      <c r="H5" s="40">
        <f t="shared" si="6"/>
        <v>1</v>
      </c>
      <c r="I5" s="41">
        <v>250000</v>
      </c>
      <c r="J5" s="41">
        <v>0</v>
      </c>
      <c r="K5" s="41">
        <v>0</v>
      </c>
      <c r="L5" s="42">
        <f t="shared" si="7"/>
        <v>250000</v>
      </c>
      <c r="M5" s="41">
        <v>250000</v>
      </c>
      <c r="N5" s="42">
        <f t="shared" si="8"/>
        <v>0</v>
      </c>
      <c r="O5" s="41">
        <v>250000</v>
      </c>
      <c r="P5" s="41" t="s">
        <v>130</v>
      </c>
      <c r="Q5" s="35" t="s">
        <v>131</v>
      </c>
      <c r="R5" s="35" t="s">
        <v>21</v>
      </c>
      <c r="S5" s="35" t="s">
        <v>21</v>
      </c>
      <c r="T5" s="35" t="s">
        <v>132</v>
      </c>
      <c r="U5" s="35" t="s">
        <v>26</v>
      </c>
      <c r="V5" s="41">
        <v>250000</v>
      </c>
      <c r="W5" s="41"/>
      <c r="X5" s="42">
        <f t="shared" si="1"/>
        <v>250000</v>
      </c>
      <c r="Y5" s="41">
        <v>250000</v>
      </c>
      <c r="Z5" s="41"/>
      <c r="AA5" s="42">
        <f t="shared" si="9"/>
        <v>250000</v>
      </c>
      <c r="AB5" s="43">
        <f t="shared" si="2"/>
        <v>1</v>
      </c>
      <c r="AC5" s="46"/>
      <c r="AD5" s="42">
        <f t="shared" si="3"/>
        <v>250000</v>
      </c>
      <c r="AE5" s="42">
        <f t="shared" si="10"/>
        <v>0</v>
      </c>
      <c r="AF5" s="44">
        <f t="shared" si="4"/>
        <v>0</v>
      </c>
      <c r="AG5" s="45" t="s">
        <v>118</v>
      </c>
      <c r="AH5" s="35" t="s">
        <v>21</v>
      </c>
      <c r="AI5" s="35" t="s">
        <v>21</v>
      </c>
      <c r="AJ5" s="35" t="s">
        <v>15</v>
      </c>
      <c r="AK5" s="35" t="s">
        <v>25</v>
      </c>
      <c r="AL5" s="35" t="s">
        <v>133</v>
      </c>
      <c r="AN5" s="42">
        <f t="shared" si="5"/>
        <v>0</v>
      </c>
    </row>
    <row r="6" spans="1:42" s="37" customFormat="1" ht="43.2" x14ac:dyDescent="0.3">
      <c r="A6" s="37">
        <v>400</v>
      </c>
      <c r="B6" s="35" t="s">
        <v>134</v>
      </c>
      <c r="C6" s="35" t="s">
        <v>135</v>
      </c>
      <c r="D6" s="35">
        <v>3195</v>
      </c>
      <c r="E6" s="38">
        <v>44670</v>
      </c>
      <c r="F6" s="38">
        <v>44742</v>
      </c>
      <c r="G6" s="39">
        <f t="shared" si="0"/>
        <v>72</v>
      </c>
      <c r="H6" s="40">
        <f t="shared" si="6"/>
        <v>1</v>
      </c>
      <c r="I6" s="41">
        <v>16074</v>
      </c>
      <c r="J6" s="41">
        <v>0</v>
      </c>
      <c r="K6" s="41">
        <v>0</v>
      </c>
      <c r="L6" s="42">
        <f t="shared" si="7"/>
        <v>16074</v>
      </c>
      <c r="M6" s="41">
        <v>16074</v>
      </c>
      <c r="N6" s="42">
        <f t="shared" si="8"/>
        <v>0</v>
      </c>
      <c r="O6" s="41">
        <v>16074</v>
      </c>
      <c r="P6" s="41" t="s">
        <v>136</v>
      </c>
      <c r="Q6" s="35" t="s">
        <v>137</v>
      </c>
      <c r="R6" s="35" t="s">
        <v>21</v>
      </c>
      <c r="S6" s="35" t="s">
        <v>21</v>
      </c>
      <c r="T6" s="35" t="s">
        <v>138</v>
      </c>
      <c r="U6" s="35" t="s">
        <v>26</v>
      </c>
      <c r="V6" s="41">
        <v>16073.49</v>
      </c>
      <c r="W6" s="41"/>
      <c r="X6" s="42">
        <f t="shared" si="1"/>
        <v>16073.49</v>
      </c>
      <c r="Y6" s="41">
        <v>16073.49</v>
      </c>
      <c r="Z6" s="41"/>
      <c r="AA6" s="42">
        <f t="shared" si="9"/>
        <v>16073.49</v>
      </c>
      <c r="AB6" s="43">
        <f t="shared" si="2"/>
        <v>0.9999682717431877</v>
      </c>
      <c r="AC6" s="47">
        <v>-0.51</v>
      </c>
      <c r="AD6" s="42">
        <f t="shared" si="3"/>
        <v>16073.49</v>
      </c>
      <c r="AE6" s="42">
        <f t="shared" si="10"/>
        <v>0.51000000000021828</v>
      </c>
      <c r="AF6" s="44">
        <f t="shared" si="4"/>
        <v>0</v>
      </c>
      <c r="AG6" s="45" t="s">
        <v>118</v>
      </c>
      <c r="AH6" s="35" t="s">
        <v>21</v>
      </c>
      <c r="AI6" s="35" t="s">
        <v>21</v>
      </c>
      <c r="AJ6" s="35" t="s">
        <v>15</v>
      </c>
      <c r="AK6" s="35" t="s">
        <v>25</v>
      </c>
      <c r="AL6" s="35" t="s">
        <v>119</v>
      </c>
      <c r="AN6" s="42">
        <f t="shared" ref="AN6:AN69" si="11">AD6-AA6</f>
        <v>0</v>
      </c>
    </row>
    <row r="7" spans="1:42" s="37" customFormat="1" ht="28.8" x14ac:dyDescent="0.3">
      <c r="A7" s="37">
        <v>400</v>
      </c>
      <c r="B7" s="35" t="s">
        <v>139</v>
      </c>
      <c r="C7" s="35" t="s">
        <v>140</v>
      </c>
      <c r="D7" s="35">
        <v>3150</v>
      </c>
      <c r="E7" s="38">
        <v>44854</v>
      </c>
      <c r="F7" s="38">
        <v>45107</v>
      </c>
      <c r="G7" s="39">
        <f t="shared" si="0"/>
        <v>253</v>
      </c>
      <c r="H7" s="40">
        <f t="shared" si="6"/>
        <v>1</v>
      </c>
      <c r="I7" s="41">
        <v>13449</v>
      </c>
      <c r="J7" s="41">
        <v>0</v>
      </c>
      <c r="K7" s="41">
        <v>0</v>
      </c>
      <c r="L7" s="42">
        <f t="shared" si="7"/>
        <v>13449</v>
      </c>
      <c r="M7" s="41">
        <v>13449</v>
      </c>
      <c r="N7" s="42">
        <f t="shared" si="8"/>
        <v>0</v>
      </c>
      <c r="O7" s="45">
        <v>13449</v>
      </c>
      <c r="P7" s="45" t="s">
        <v>141</v>
      </c>
      <c r="Q7" s="35" t="s">
        <v>142</v>
      </c>
      <c r="R7" s="35" t="s">
        <v>21</v>
      </c>
      <c r="S7" s="35" t="s">
        <v>21</v>
      </c>
      <c r="T7" s="35" t="s">
        <v>138</v>
      </c>
      <c r="U7" s="35" t="s">
        <v>26</v>
      </c>
      <c r="V7" s="41">
        <v>13028.7</v>
      </c>
      <c r="W7" s="41"/>
      <c r="X7" s="42">
        <f t="shared" si="1"/>
        <v>13028.7</v>
      </c>
      <c r="Y7" s="41">
        <v>13028.7</v>
      </c>
      <c r="Z7" s="41"/>
      <c r="AA7" s="42">
        <f t="shared" si="9"/>
        <v>13028.7</v>
      </c>
      <c r="AB7" s="43">
        <f t="shared" si="2"/>
        <v>0.96874860584430078</v>
      </c>
      <c r="AC7" s="47">
        <v>-420.3</v>
      </c>
      <c r="AD7" s="42">
        <f t="shared" si="3"/>
        <v>13028.7</v>
      </c>
      <c r="AE7" s="42">
        <f>M7-AD7</f>
        <v>420.29999999999927</v>
      </c>
      <c r="AF7" s="44">
        <f t="shared" si="4"/>
        <v>0</v>
      </c>
      <c r="AG7" s="45" t="s">
        <v>118</v>
      </c>
      <c r="AH7" s="35" t="s">
        <v>21</v>
      </c>
      <c r="AI7" s="35" t="s">
        <v>21</v>
      </c>
      <c r="AJ7" s="35" t="s">
        <v>15</v>
      </c>
      <c r="AK7" s="35" t="s">
        <v>25</v>
      </c>
      <c r="AL7" s="35" t="s">
        <v>119</v>
      </c>
      <c r="AN7" s="42">
        <f t="shared" si="11"/>
        <v>0</v>
      </c>
    </row>
    <row r="8" spans="1:42" s="37" customFormat="1" ht="28.8" x14ac:dyDescent="0.3">
      <c r="A8" s="37">
        <v>400</v>
      </c>
      <c r="B8" s="35" t="s">
        <v>143</v>
      </c>
      <c r="C8" s="35" t="s">
        <v>144</v>
      </c>
      <c r="D8" s="35">
        <v>3195</v>
      </c>
      <c r="E8" s="38">
        <v>44854</v>
      </c>
      <c r="F8" s="38">
        <v>45107</v>
      </c>
      <c r="G8" s="39">
        <f t="shared" si="0"/>
        <v>253</v>
      </c>
      <c r="H8" s="40">
        <f t="shared" si="6"/>
        <v>1</v>
      </c>
      <c r="I8" s="41">
        <v>6724</v>
      </c>
      <c r="J8" s="41">
        <v>0</v>
      </c>
      <c r="K8" s="41">
        <v>0</v>
      </c>
      <c r="L8" s="42">
        <f t="shared" si="7"/>
        <v>6724</v>
      </c>
      <c r="M8" s="41">
        <v>6724</v>
      </c>
      <c r="N8" s="42">
        <f t="shared" si="8"/>
        <v>0</v>
      </c>
      <c r="O8" s="45">
        <v>6724</v>
      </c>
      <c r="P8" s="45" t="s">
        <v>145</v>
      </c>
      <c r="Q8" s="35" t="s">
        <v>146</v>
      </c>
      <c r="R8" s="35" t="s">
        <v>21</v>
      </c>
      <c r="S8" s="35" t="s">
        <v>21</v>
      </c>
      <c r="T8" s="35" t="s">
        <v>138</v>
      </c>
      <c r="U8" s="35" t="s">
        <v>26</v>
      </c>
      <c r="V8" s="45">
        <v>6195</v>
      </c>
      <c r="W8" s="41"/>
      <c r="X8" s="42">
        <f t="shared" si="1"/>
        <v>6195</v>
      </c>
      <c r="Y8" s="45">
        <v>6195</v>
      </c>
      <c r="Z8" s="45"/>
      <c r="AA8" s="42">
        <f t="shared" si="9"/>
        <v>6195</v>
      </c>
      <c r="AB8" s="43">
        <f t="shared" si="2"/>
        <v>0.92132659131469363</v>
      </c>
      <c r="AC8" s="47">
        <v>-529</v>
      </c>
      <c r="AD8" s="42">
        <f t="shared" si="3"/>
        <v>6195</v>
      </c>
      <c r="AE8" s="42">
        <f t="shared" si="10"/>
        <v>529</v>
      </c>
      <c r="AF8" s="44">
        <f t="shared" si="4"/>
        <v>0</v>
      </c>
      <c r="AG8" s="45" t="s">
        <v>118</v>
      </c>
      <c r="AH8" s="35" t="s">
        <v>21</v>
      </c>
      <c r="AI8" s="35" t="s">
        <v>21</v>
      </c>
      <c r="AJ8" s="35" t="s">
        <v>15</v>
      </c>
      <c r="AK8" s="35" t="s">
        <v>25</v>
      </c>
      <c r="AL8" s="35" t="s">
        <v>119</v>
      </c>
      <c r="AN8" s="42">
        <f t="shared" si="11"/>
        <v>0</v>
      </c>
    </row>
    <row r="9" spans="1:42" s="37" customFormat="1" ht="57.6" x14ac:dyDescent="0.3">
      <c r="A9" s="37">
        <v>402</v>
      </c>
      <c r="B9" s="35" t="s">
        <v>147</v>
      </c>
      <c r="C9" s="35" t="s">
        <v>148</v>
      </c>
      <c r="D9" s="35" t="s">
        <v>149</v>
      </c>
      <c r="E9" s="38">
        <v>44734</v>
      </c>
      <c r="F9" s="38">
        <v>45473</v>
      </c>
      <c r="G9" s="39">
        <f t="shared" ref="G9:G30" si="12">F9-E9</f>
        <v>739</v>
      </c>
      <c r="H9" s="40">
        <f t="shared" ref="H9:H29" si="13">IF(U9="Completed",1,($B$1-E9)/G9)</f>
        <v>1</v>
      </c>
      <c r="I9" s="41">
        <v>10936</v>
      </c>
      <c r="J9" s="41">
        <v>0</v>
      </c>
      <c r="K9" s="41">
        <v>0</v>
      </c>
      <c r="L9" s="42">
        <f t="shared" ref="L9:L30" si="14">I9+J9+K9</f>
        <v>10936</v>
      </c>
      <c r="M9" s="41">
        <v>10936</v>
      </c>
      <c r="N9" s="42">
        <f t="shared" ref="N9:N30" si="15">L9-M9</f>
        <v>0</v>
      </c>
      <c r="O9" s="45">
        <v>10936</v>
      </c>
      <c r="P9" s="45" t="s">
        <v>150</v>
      </c>
      <c r="Q9" s="35" t="s">
        <v>151</v>
      </c>
      <c r="R9" s="35" t="s">
        <v>152</v>
      </c>
      <c r="S9" s="35" t="s">
        <v>21</v>
      </c>
      <c r="T9" s="35" t="s">
        <v>138</v>
      </c>
      <c r="U9" s="35" t="s">
        <v>26</v>
      </c>
      <c r="V9" s="45">
        <v>10936</v>
      </c>
      <c r="W9" s="41">
        <v>0</v>
      </c>
      <c r="X9" s="42">
        <f t="shared" ref="X9:X30" si="16">V9+W9</f>
        <v>10936</v>
      </c>
      <c r="Y9" s="41">
        <v>10936</v>
      </c>
      <c r="Z9" s="45">
        <v>0</v>
      </c>
      <c r="AA9" s="42">
        <f t="shared" ref="AA9:AA31" si="17">Y9+Z9</f>
        <v>10936</v>
      </c>
      <c r="AB9" s="43">
        <f t="shared" ref="AB9:AB31" si="18">AA9/O9</f>
        <v>1</v>
      </c>
      <c r="AC9" s="47">
        <v>0</v>
      </c>
      <c r="AD9" s="42">
        <f t="shared" ref="AD9:AD31" si="19">O9+AC9</f>
        <v>10936</v>
      </c>
      <c r="AE9" s="42">
        <f t="shared" ref="AE9:AE31" si="20">M9-AD9</f>
        <v>0</v>
      </c>
      <c r="AF9" s="44">
        <f>AD9-X9</f>
        <v>0</v>
      </c>
      <c r="AG9" s="45" t="s">
        <v>118</v>
      </c>
      <c r="AH9" s="35">
        <v>40</v>
      </c>
      <c r="AI9" s="35" t="s">
        <v>15</v>
      </c>
      <c r="AJ9" s="35" t="s">
        <v>15</v>
      </c>
      <c r="AK9" s="35" t="s">
        <v>20</v>
      </c>
      <c r="AL9" s="35" t="s">
        <v>153</v>
      </c>
      <c r="AM9" s="35"/>
      <c r="AN9" s="42">
        <f t="shared" si="11"/>
        <v>0</v>
      </c>
      <c r="AP9" s="48"/>
    </row>
    <row r="10" spans="1:42" s="37" customFormat="1" ht="129.6" x14ac:dyDescent="0.3">
      <c r="A10" s="37">
        <v>402</v>
      </c>
      <c r="B10" s="35" t="s">
        <v>154</v>
      </c>
      <c r="C10" s="35" t="s">
        <v>155</v>
      </c>
      <c r="D10" s="35">
        <v>3279</v>
      </c>
      <c r="E10" s="38">
        <v>44791</v>
      </c>
      <c r="F10" s="38">
        <v>45747</v>
      </c>
      <c r="G10" s="39">
        <f t="shared" si="12"/>
        <v>956</v>
      </c>
      <c r="H10" s="40">
        <f t="shared" si="13"/>
        <v>1</v>
      </c>
      <c r="I10" s="41">
        <v>8527243</v>
      </c>
      <c r="J10" s="41">
        <v>0</v>
      </c>
      <c r="K10" s="41">
        <v>0</v>
      </c>
      <c r="L10" s="42">
        <f t="shared" si="14"/>
        <v>8527243</v>
      </c>
      <c r="M10" s="41">
        <v>8527243</v>
      </c>
      <c r="N10" s="42">
        <f t="shared" si="15"/>
        <v>0</v>
      </c>
      <c r="O10" s="45">
        <v>8527243</v>
      </c>
      <c r="P10" s="45" t="s">
        <v>156</v>
      </c>
      <c r="Q10" s="35" t="s">
        <v>157</v>
      </c>
      <c r="R10" s="35" t="s">
        <v>158</v>
      </c>
      <c r="S10" s="35" t="s">
        <v>159</v>
      </c>
      <c r="T10" s="35" t="s">
        <v>138</v>
      </c>
      <c r="U10" s="35" t="s">
        <v>26</v>
      </c>
      <c r="V10" s="41">
        <v>8527243</v>
      </c>
      <c r="W10" s="41">
        <v>0</v>
      </c>
      <c r="X10" s="42">
        <f t="shared" si="16"/>
        <v>8527243</v>
      </c>
      <c r="Y10" s="41">
        <v>8527243</v>
      </c>
      <c r="Z10" s="45">
        <v>0</v>
      </c>
      <c r="AA10" s="42">
        <f t="shared" si="17"/>
        <v>8527243</v>
      </c>
      <c r="AB10" s="43">
        <f t="shared" si="18"/>
        <v>1</v>
      </c>
      <c r="AC10" s="47">
        <v>0</v>
      </c>
      <c r="AD10" s="42">
        <f t="shared" si="19"/>
        <v>8527243</v>
      </c>
      <c r="AE10" s="42">
        <f t="shared" si="20"/>
        <v>0</v>
      </c>
      <c r="AF10" s="44">
        <v>0</v>
      </c>
      <c r="AG10" s="45" t="s">
        <v>118</v>
      </c>
      <c r="AH10" s="35">
        <v>6143</v>
      </c>
      <c r="AI10" s="35" t="s">
        <v>15</v>
      </c>
      <c r="AJ10" s="35" t="s">
        <v>15</v>
      </c>
      <c r="AK10" s="35" t="s">
        <v>160</v>
      </c>
      <c r="AL10" s="35" t="s">
        <v>161</v>
      </c>
      <c r="AM10" s="35"/>
      <c r="AN10" s="42">
        <f t="shared" si="11"/>
        <v>0</v>
      </c>
      <c r="AP10" s="48"/>
    </row>
    <row r="11" spans="1:42" s="37" customFormat="1" ht="72" x14ac:dyDescent="0.3">
      <c r="A11" s="37">
        <v>402</v>
      </c>
      <c r="B11" s="35" t="s">
        <v>162</v>
      </c>
      <c r="C11" s="35" t="s">
        <v>163</v>
      </c>
      <c r="D11" s="35" t="s">
        <v>149</v>
      </c>
      <c r="E11" s="38">
        <v>44854</v>
      </c>
      <c r="F11" s="38">
        <v>46022</v>
      </c>
      <c r="G11" s="39">
        <f t="shared" si="12"/>
        <v>1168</v>
      </c>
      <c r="H11" s="40">
        <f t="shared" si="13"/>
        <v>0.7654109589041096</v>
      </c>
      <c r="I11" s="41">
        <v>1559280</v>
      </c>
      <c r="J11" s="41">
        <v>-59280</v>
      </c>
      <c r="K11" s="41">
        <v>0</v>
      </c>
      <c r="L11" s="42">
        <f t="shared" si="14"/>
        <v>1500000</v>
      </c>
      <c r="M11" s="41">
        <v>1559280</v>
      </c>
      <c r="N11" s="42">
        <f t="shared" si="15"/>
        <v>-59280</v>
      </c>
      <c r="O11" s="45">
        <v>1559280</v>
      </c>
      <c r="P11" s="45" t="s">
        <v>164</v>
      </c>
      <c r="Q11" s="35" t="s">
        <v>165</v>
      </c>
      <c r="R11" s="35" t="s">
        <v>1078</v>
      </c>
      <c r="S11" s="35" t="s">
        <v>166</v>
      </c>
      <c r="T11" s="35" t="s">
        <v>167</v>
      </c>
      <c r="U11" s="35" t="s">
        <v>22</v>
      </c>
      <c r="V11" s="45">
        <v>1500000</v>
      </c>
      <c r="W11" s="41"/>
      <c r="X11" s="42">
        <f t="shared" si="16"/>
        <v>1500000</v>
      </c>
      <c r="Y11" s="41">
        <v>805695.11</v>
      </c>
      <c r="Z11" s="45">
        <v>5672.63</v>
      </c>
      <c r="AA11" s="42">
        <f t="shared" si="17"/>
        <v>811367.74</v>
      </c>
      <c r="AB11" s="43">
        <f t="shared" si="18"/>
        <v>0.5203476861115387</v>
      </c>
      <c r="AC11" s="41">
        <v>-59280</v>
      </c>
      <c r="AD11" s="42">
        <f t="shared" si="19"/>
        <v>1500000</v>
      </c>
      <c r="AE11" s="42">
        <f t="shared" si="20"/>
        <v>59280</v>
      </c>
      <c r="AF11" s="44">
        <v>0</v>
      </c>
      <c r="AG11" s="45" t="s">
        <v>118</v>
      </c>
      <c r="AH11" s="35">
        <v>149</v>
      </c>
      <c r="AI11" s="35" t="s">
        <v>15</v>
      </c>
      <c r="AJ11" s="35" t="s">
        <v>15</v>
      </c>
      <c r="AK11" s="35" t="s">
        <v>25</v>
      </c>
      <c r="AL11" s="35" t="s">
        <v>119</v>
      </c>
      <c r="AM11" s="37" t="s">
        <v>168</v>
      </c>
      <c r="AN11" s="42">
        <f t="shared" si="11"/>
        <v>688632.26</v>
      </c>
      <c r="AP11" s="48"/>
    </row>
    <row r="12" spans="1:42" s="37" customFormat="1" ht="144" x14ac:dyDescent="0.3">
      <c r="A12" s="37">
        <v>402</v>
      </c>
      <c r="B12" s="35" t="s">
        <v>169</v>
      </c>
      <c r="C12" s="35" t="s">
        <v>170</v>
      </c>
      <c r="D12" s="35" t="s">
        <v>149</v>
      </c>
      <c r="E12" s="38">
        <v>44854</v>
      </c>
      <c r="F12" s="38">
        <v>46387</v>
      </c>
      <c r="G12" s="39">
        <f t="shared" si="12"/>
        <v>1533</v>
      </c>
      <c r="H12" s="40">
        <f t="shared" si="13"/>
        <v>0.58317025440313108</v>
      </c>
      <c r="I12" s="41">
        <v>1646881</v>
      </c>
      <c r="J12" s="41">
        <v>-500000</v>
      </c>
      <c r="K12" s="41"/>
      <c r="L12" s="42">
        <f t="shared" si="14"/>
        <v>1146881</v>
      </c>
      <c r="M12" s="41">
        <v>1646881</v>
      </c>
      <c r="N12" s="42">
        <f t="shared" si="15"/>
        <v>-500000</v>
      </c>
      <c r="O12" s="45">
        <v>1646881</v>
      </c>
      <c r="P12" s="45" t="s">
        <v>171</v>
      </c>
      <c r="Q12" s="35" t="s">
        <v>172</v>
      </c>
      <c r="R12" s="35" t="s">
        <v>173</v>
      </c>
      <c r="S12" s="35" t="s">
        <v>174</v>
      </c>
      <c r="T12" s="35" t="s">
        <v>175</v>
      </c>
      <c r="U12" s="35" t="s">
        <v>17</v>
      </c>
      <c r="V12" s="45">
        <v>1146215.21</v>
      </c>
      <c r="W12" s="41"/>
      <c r="X12" s="42">
        <f t="shared" si="16"/>
        <v>1146215.21</v>
      </c>
      <c r="Y12" s="41">
        <v>547650.43999999994</v>
      </c>
      <c r="Z12" s="45">
        <v>14298.99</v>
      </c>
      <c r="AA12" s="42">
        <f t="shared" si="17"/>
        <v>561949.42999999993</v>
      </c>
      <c r="AB12" s="43">
        <f t="shared" si="18"/>
        <v>0.34122042211914516</v>
      </c>
      <c r="AC12" s="41">
        <v>-500000</v>
      </c>
      <c r="AD12" s="42">
        <f t="shared" si="19"/>
        <v>1146881</v>
      </c>
      <c r="AE12" s="42">
        <f t="shared" si="20"/>
        <v>500000</v>
      </c>
      <c r="AF12" s="44">
        <f t="shared" ref="AF12:AF19" si="21">AD12-X12</f>
        <v>665.79000000003725</v>
      </c>
      <c r="AG12" s="45" t="s">
        <v>118</v>
      </c>
      <c r="AH12" s="35" t="s">
        <v>21</v>
      </c>
      <c r="AI12" s="35" t="s">
        <v>15</v>
      </c>
      <c r="AJ12" s="35" t="s">
        <v>15</v>
      </c>
      <c r="AK12" s="35" t="s">
        <v>25</v>
      </c>
      <c r="AL12" s="35" t="s">
        <v>126</v>
      </c>
      <c r="AN12" s="42">
        <f t="shared" si="11"/>
        <v>584931.57000000007</v>
      </c>
      <c r="AP12" s="48"/>
    </row>
    <row r="13" spans="1:42" s="37" customFormat="1" ht="57.6" x14ac:dyDescent="0.3">
      <c r="A13" s="37">
        <v>402</v>
      </c>
      <c r="B13" s="35" t="s">
        <v>176</v>
      </c>
      <c r="C13" s="35" t="s">
        <v>177</v>
      </c>
      <c r="D13" s="35">
        <v>3266</v>
      </c>
      <c r="E13" s="38">
        <v>44652</v>
      </c>
      <c r="F13" s="38">
        <v>45016</v>
      </c>
      <c r="G13" s="39">
        <f t="shared" si="12"/>
        <v>364</v>
      </c>
      <c r="H13" s="40">
        <f t="shared" si="13"/>
        <v>1</v>
      </c>
      <c r="I13" s="49">
        <v>25727.13</v>
      </c>
      <c r="J13" s="41">
        <v>-17398.259999999998</v>
      </c>
      <c r="K13" s="41">
        <v>0</v>
      </c>
      <c r="L13" s="42">
        <f t="shared" si="14"/>
        <v>8328.8700000000026</v>
      </c>
      <c r="M13" s="49">
        <v>8328.8700000000008</v>
      </c>
      <c r="N13" s="42">
        <f t="shared" si="15"/>
        <v>0</v>
      </c>
      <c r="O13" s="45">
        <v>25727.13</v>
      </c>
      <c r="P13" s="45" t="s">
        <v>178</v>
      </c>
      <c r="Q13" s="35" t="s">
        <v>179</v>
      </c>
      <c r="R13" s="35" t="s">
        <v>180</v>
      </c>
      <c r="S13" s="35" t="s">
        <v>181</v>
      </c>
      <c r="T13" s="35" t="s">
        <v>182</v>
      </c>
      <c r="U13" s="35" t="s">
        <v>26</v>
      </c>
      <c r="V13" s="45">
        <v>8328.8700000000008</v>
      </c>
      <c r="W13" s="41">
        <v>0</v>
      </c>
      <c r="X13" s="42">
        <f t="shared" si="16"/>
        <v>8328.8700000000008</v>
      </c>
      <c r="Y13" s="41">
        <v>8328.8700000000008</v>
      </c>
      <c r="Z13" s="45">
        <v>0</v>
      </c>
      <c r="AA13" s="42">
        <f>Y13+Z13</f>
        <v>8328.8700000000008</v>
      </c>
      <c r="AB13" s="43">
        <f t="shared" si="18"/>
        <v>0.32373879247315968</v>
      </c>
      <c r="AC13" s="47">
        <v>-17398.259999999998</v>
      </c>
      <c r="AD13" s="42">
        <f t="shared" si="19"/>
        <v>8328.8700000000026</v>
      </c>
      <c r="AE13" s="42">
        <f t="shared" si="20"/>
        <v>0</v>
      </c>
      <c r="AF13" s="44">
        <f t="shared" si="21"/>
        <v>0</v>
      </c>
      <c r="AG13" s="45" t="s">
        <v>118</v>
      </c>
      <c r="AH13" s="35">
        <v>1708</v>
      </c>
      <c r="AI13" s="35" t="s">
        <v>15</v>
      </c>
      <c r="AJ13" s="35" t="s">
        <v>15</v>
      </c>
      <c r="AK13" s="35" t="s">
        <v>20</v>
      </c>
      <c r="AL13" s="35" t="s">
        <v>153</v>
      </c>
      <c r="AN13" s="42">
        <f t="shared" si="11"/>
        <v>0</v>
      </c>
      <c r="AP13" s="48"/>
    </row>
    <row r="14" spans="1:42" s="37" customFormat="1" ht="115.2" x14ac:dyDescent="0.3">
      <c r="A14" s="37">
        <v>402</v>
      </c>
      <c r="B14" s="35" t="s">
        <v>183</v>
      </c>
      <c r="C14" s="35" t="s">
        <v>184</v>
      </c>
      <c r="D14" s="35">
        <v>3204</v>
      </c>
      <c r="E14" s="38">
        <v>44743</v>
      </c>
      <c r="F14" s="38">
        <v>45107</v>
      </c>
      <c r="G14" s="39">
        <f t="shared" si="12"/>
        <v>364</v>
      </c>
      <c r="H14" s="40">
        <f t="shared" si="13"/>
        <v>1</v>
      </c>
      <c r="I14" s="41">
        <v>173353</v>
      </c>
      <c r="J14" s="41">
        <v>0</v>
      </c>
      <c r="K14" s="41">
        <v>0</v>
      </c>
      <c r="L14" s="42">
        <f t="shared" si="14"/>
        <v>173353</v>
      </c>
      <c r="M14" s="41">
        <v>173353</v>
      </c>
      <c r="N14" s="42">
        <f t="shared" si="15"/>
        <v>0</v>
      </c>
      <c r="O14" s="45">
        <v>173353</v>
      </c>
      <c r="P14" s="45" t="s">
        <v>185</v>
      </c>
      <c r="Q14" s="35" t="s">
        <v>186</v>
      </c>
      <c r="R14" s="35" t="s">
        <v>187</v>
      </c>
      <c r="S14" s="50" t="s">
        <v>188</v>
      </c>
      <c r="T14" s="35" t="s">
        <v>189</v>
      </c>
      <c r="U14" s="35" t="s">
        <v>26</v>
      </c>
      <c r="V14" s="45">
        <v>173353</v>
      </c>
      <c r="W14" s="41">
        <v>0</v>
      </c>
      <c r="X14" s="42">
        <f t="shared" si="16"/>
        <v>173353</v>
      </c>
      <c r="Y14" s="41">
        <v>173353</v>
      </c>
      <c r="Z14" s="45">
        <v>0</v>
      </c>
      <c r="AA14" s="42">
        <f t="shared" si="17"/>
        <v>173353</v>
      </c>
      <c r="AB14" s="43">
        <f t="shared" si="18"/>
        <v>1</v>
      </c>
      <c r="AC14" s="47">
        <v>0</v>
      </c>
      <c r="AD14" s="42">
        <f t="shared" si="19"/>
        <v>173353</v>
      </c>
      <c r="AE14" s="42">
        <f t="shared" si="20"/>
        <v>0</v>
      </c>
      <c r="AF14" s="44">
        <f t="shared" si="21"/>
        <v>0</v>
      </c>
      <c r="AG14" s="45" t="s">
        <v>118</v>
      </c>
      <c r="AH14" s="35" t="s">
        <v>21</v>
      </c>
      <c r="AI14" s="35" t="s">
        <v>21</v>
      </c>
      <c r="AJ14" s="35" t="s">
        <v>15</v>
      </c>
      <c r="AK14" s="35" t="s">
        <v>25</v>
      </c>
      <c r="AL14" s="35" t="s">
        <v>153</v>
      </c>
      <c r="AN14" s="42">
        <f t="shared" si="11"/>
        <v>0</v>
      </c>
      <c r="AP14" s="48"/>
    </row>
    <row r="15" spans="1:42" s="37" customFormat="1" ht="43.2" x14ac:dyDescent="0.3">
      <c r="A15" s="37">
        <v>402</v>
      </c>
      <c r="B15" s="35" t="s">
        <v>190</v>
      </c>
      <c r="C15" s="35" t="s">
        <v>191</v>
      </c>
      <c r="D15" s="35">
        <v>3266</v>
      </c>
      <c r="E15" s="38">
        <v>44652</v>
      </c>
      <c r="F15" s="38">
        <v>45016</v>
      </c>
      <c r="G15" s="39">
        <f t="shared" si="12"/>
        <v>364</v>
      </c>
      <c r="H15" s="40">
        <f t="shared" si="13"/>
        <v>1</v>
      </c>
      <c r="I15" s="41">
        <v>626889.56999999995</v>
      </c>
      <c r="J15" s="41">
        <v>0</v>
      </c>
      <c r="K15" s="41">
        <v>0</v>
      </c>
      <c r="L15" s="42">
        <f t="shared" si="14"/>
        <v>626889.56999999995</v>
      </c>
      <c r="M15" s="41">
        <v>626889.56999999995</v>
      </c>
      <c r="N15" s="42">
        <f t="shared" si="15"/>
        <v>0</v>
      </c>
      <c r="O15" s="45">
        <v>626889.56999999995</v>
      </c>
      <c r="P15" s="45" t="s">
        <v>178</v>
      </c>
      <c r="Q15" s="35" t="s">
        <v>192</v>
      </c>
      <c r="R15" s="35" t="s">
        <v>193</v>
      </c>
      <c r="S15" s="35" t="s">
        <v>194</v>
      </c>
      <c r="T15" s="35" t="s">
        <v>195</v>
      </c>
      <c r="U15" s="35" t="s">
        <v>26</v>
      </c>
      <c r="V15" s="45">
        <v>626889.56999999995</v>
      </c>
      <c r="W15" s="41">
        <v>0</v>
      </c>
      <c r="X15" s="42">
        <f t="shared" si="16"/>
        <v>626889.56999999995</v>
      </c>
      <c r="Y15" s="41">
        <v>626889.56999999995</v>
      </c>
      <c r="Z15" s="45">
        <v>0</v>
      </c>
      <c r="AA15" s="42">
        <f t="shared" si="17"/>
        <v>626889.56999999995</v>
      </c>
      <c r="AB15" s="43">
        <f t="shared" si="18"/>
        <v>1</v>
      </c>
      <c r="AC15" s="47">
        <v>0</v>
      </c>
      <c r="AD15" s="42">
        <f t="shared" si="19"/>
        <v>626889.56999999995</v>
      </c>
      <c r="AE15" s="42">
        <f t="shared" si="20"/>
        <v>0</v>
      </c>
      <c r="AF15" s="44">
        <f t="shared" si="21"/>
        <v>0</v>
      </c>
      <c r="AG15" s="45" t="s">
        <v>118</v>
      </c>
      <c r="AH15" s="35">
        <v>3485</v>
      </c>
      <c r="AI15" s="35" t="s">
        <v>15</v>
      </c>
      <c r="AJ15" s="35" t="s">
        <v>15</v>
      </c>
      <c r="AK15" s="35" t="s">
        <v>20</v>
      </c>
      <c r="AL15" s="35" t="s">
        <v>153</v>
      </c>
      <c r="AN15" s="42">
        <f t="shared" si="11"/>
        <v>0</v>
      </c>
      <c r="AP15" s="48"/>
    </row>
    <row r="16" spans="1:42" s="37" customFormat="1" ht="43.2" x14ac:dyDescent="0.3">
      <c r="A16" s="37">
        <v>402</v>
      </c>
      <c r="B16" s="35" t="s">
        <v>196</v>
      </c>
      <c r="C16" s="35" t="s">
        <v>197</v>
      </c>
      <c r="D16" s="35">
        <v>3151</v>
      </c>
      <c r="E16" s="38">
        <v>44854</v>
      </c>
      <c r="F16" s="38">
        <v>46387</v>
      </c>
      <c r="G16" s="39">
        <f t="shared" si="12"/>
        <v>1533</v>
      </c>
      <c r="H16" s="40">
        <f>IF(U16="Completed",1,($B$1-E16)/G16)</f>
        <v>0.58317025440313108</v>
      </c>
      <c r="I16" s="41">
        <v>7500000</v>
      </c>
      <c r="J16" s="41">
        <v>0</v>
      </c>
      <c r="K16" s="41"/>
      <c r="L16" s="42">
        <f t="shared" si="14"/>
        <v>7500000</v>
      </c>
      <c r="M16" s="41">
        <v>7500000</v>
      </c>
      <c r="N16" s="42">
        <f t="shared" si="15"/>
        <v>0</v>
      </c>
      <c r="O16" s="45">
        <v>7500000</v>
      </c>
      <c r="P16" s="45" t="s">
        <v>198</v>
      </c>
      <c r="Q16" s="35" t="s">
        <v>199</v>
      </c>
      <c r="R16" s="35" t="s">
        <v>200</v>
      </c>
      <c r="S16" s="35" t="s">
        <v>201</v>
      </c>
      <c r="T16" s="35" t="s">
        <v>202</v>
      </c>
      <c r="U16" s="35" t="s">
        <v>17</v>
      </c>
      <c r="V16" s="45">
        <v>2501966.6</v>
      </c>
      <c r="W16" s="41">
        <v>0</v>
      </c>
      <c r="X16" s="42">
        <f t="shared" si="16"/>
        <v>2501966.6</v>
      </c>
      <c r="Y16" s="41">
        <v>1495211.2600000002</v>
      </c>
      <c r="Z16" s="45">
        <v>151159.93</v>
      </c>
      <c r="AA16" s="42">
        <f t="shared" si="17"/>
        <v>1646371.1900000002</v>
      </c>
      <c r="AB16" s="43">
        <f t="shared" si="18"/>
        <v>0.21951615866666668</v>
      </c>
      <c r="AC16" s="51">
        <v>0</v>
      </c>
      <c r="AD16" s="42">
        <f t="shared" si="19"/>
        <v>7500000</v>
      </c>
      <c r="AE16" s="42">
        <f t="shared" si="20"/>
        <v>0</v>
      </c>
      <c r="AF16" s="44">
        <f t="shared" si="21"/>
        <v>4998033.4000000004</v>
      </c>
      <c r="AG16" s="45" t="s">
        <v>118</v>
      </c>
      <c r="AH16" s="35" t="s">
        <v>21</v>
      </c>
      <c r="AI16" s="35" t="s">
        <v>15</v>
      </c>
      <c r="AJ16" s="35" t="s">
        <v>15</v>
      </c>
      <c r="AK16" s="35" t="s">
        <v>25</v>
      </c>
      <c r="AL16" s="35" t="s">
        <v>119</v>
      </c>
      <c r="AN16" s="42">
        <f t="shared" si="11"/>
        <v>5853628.8099999996</v>
      </c>
      <c r="AP16" s="48"/>
    </row>
    <row r="17" spans="1:40" s="37" customFormat="1" ht="129.6" x14ac:dyDescent="0.3">
      <c r="A17" s="37">
        <v>402</v>
      </c>
      <c r="B17" s="35" t="s">
        <v>203</v>
      </c>
      <c r="C17" s="35" t="s">
        <v>204</v>
      </c>
      <c r="D17" s="35">
        <v>3151</v>
      </c>
      <c r="E17" s="38">
        <v>44854</v>
      </c>
      <c r="F17" s="38">
        <v>45473</v>
      </c>
      <c r="G17" s="39">
        <f t="shared" si="12"/>
        <v>619</v>
      </c>
      <c r="H17" s="40">
        <f t="shared" si="13"/>
        <v>1.444264943457189</v>
      </c>
      <c r="I17" s="41">
        <v>1040000</v>
      </c>
      <c r="J17" s="41">
        <v>0</v>
      </c>
      <c r="K17" s="41">
        <v>0</v>
      </c>
      <c r="L17" s="42">
        <f t="shared" si="14"/>
        <v>1040000</v>
      </c>
      <c r="M17" s="41">
        <v>1040000</v>
      </c>
      <c r="N17" s="42">
        <f t="shared" si="15"/>
        <v>0</v>
      </c>
      <c r="O17" s="45">
        <v>1040000</v>
      </c>
      <c r="P17" s="45" t="s">
        <v>205</v>
      </c>
      <c r="Q17" s="35" t="s">
        <v>1079</v>
      </c>
      <c r="R17" s="35" t="s">
        <v>206</v>
      </c>
      <c r="S17" s="35" t="s">
        <v>21</v>
      </c>
      <c r="T17" s="35" t="s">
        <v>207</v>
      </c>
      <c r="U17" s="35" t="s">
        <v>22</v>
      </c>
      <c r="V17" s="45">
        <v>1040000</v>
      </c>
      <c r="W17" s="41">
        <v>0</v>
      </c>
      <c r="X17" s="42">
        <f t="shared" si="16"/>
        <v>1040000</v>
      </c>
      <c r="Y17" s="41">
        <v>1013033.0800000001</v>
      </c>
      <c r="Z17" s="45">
        <v>0</v>
      </c>
      <c r="AA17" s="42">
        <f t="shared" si="17"/>
        <v>1013033.0800000001</v>
      </c>
      <c r="AB17" s="43">
        <f t="shared" si="18"/>
        <v>0.97407026923076934</v>
      </c>
      <c r="AC17" s="51">
        <v>0</v>
      </c>
      <c r="AD17" s="42">
        <f t="shared" si="19"/>
        <v>1040000</v>
      </c>
      <c r="AE17" s="42">
        <f t="shared" si="20"/>
        <v>0</v>
      </c>
      <c r="AF17" s="44">
        <f>AD17-X17</f>
        <v>0</v>
      </c>
      <c r="AG17" s="45" t="s">
        <v>118</v>
      </c>
      <c r="AH17" s="35" t="s">
        <v>21</v>
      </c>
      <c r="AI17" s="35" t="s">
        <v>15</v>
      </c>
      <c r="AJ17" s="35" t="s">
        <v>15</v>
      </c>
      <c r="AK17" s="35" t="s">
        <v>25</v>
      </c>
      <c r="AL17" s="35" t="s">
        <v>119</v>
      </c>
      <c r="AN17" s="42">
        <f>AD17-AA17</f>
        <v>26966.919999999925</v>
      </c>
    </row>
    <row r="18" spans="1:40" s="37" customFormat="1" ht="57.6" x14ac:dyDescent="0.3">
      <c r="A18" s="37">
        <v>402</v>
      </c>
      <c r="B18" s="35" t="s">
        <v>208</v>
      </c>
      <c r="C18" s="35" t="s">
        <v>209</v>
      </c>
      <c r="D18" s="35">
        <v>3279</v>
      </c>
      <c r="E18" s="38">
        <v>44791</v>
      </c>
      <c r="F18" s="38">
        <v>45473</v>
      </c>
      <c r="G18" s="181">
        <f t="shared" si="12"/>
        <v>682</v>
      </c>
      <c r="H18" s="182">
        <f t="shared" si="13"/>
        <v>1</v>
      </c>
      <c r="I18" s="41">
        <v>87690</v>
      </c>
      <c r="J18" s="41">
        <v>0</v>
      </c>
      <c r="K18" s="41">
        <v>0</v>
      </c>
      <c r="L18" s="41">
        <f t="shared" si="14"/>
        <v>87690</v>
      </c>
      <c r="M18" s="41">
        <v>87690</v>
      </c>
      <c r="N18" s="41">
        <f t="shared" si="15"/>
        <v>0</v>
      </c>
      <c r="O18" s="45">
        <v>87690</v>
      </c>
      <c r="P18" s="45" t="s">
        <v>210</v>
      </c>
      <c r="Q18" s="35" t="s">
        <v>211</v>
      </c>
      <c r="R18" s="35" t="s">
        <v>212</v>
      </c>
      <c r="S18" s="35" t="s">
        <v>21</v>
      </c>
      <c r="T18" s="35" t="s">
        <v>213</v>
      </c>
      <c r="U18" s="35" t="s">
        <v>26</v>
      </c>
      <c r="V18" s="45">
        <v>79914.94</v>
      </c>
      <c r="W18" s="41"/>
      <c r="X18" s="41">
        <f t="shared" si="16"/>
        <v>79914.94</v>
      </c>
      <c r="Y18" s="41">
        <v>79914.94</v>
      </c>
      <c r="Z18" s="45"/>
      <c r="AA18" s="41">
        <f t="shared" si="17"/>
        <v>79914.94</v>
      </c>
      <c r="AB18" s="46">
        <f t="shared" si="18"/>
        <v>0.91133470179039799</v>
      </c>
      <c r="AC18" s="47">
        <v>0</v>
      </c>
      <c r="AD18" s="41">
        <f t="shared" si="19"/>
        <v>87690</v>
      </c>
      <c r="AE18" s="41">
        <f t="shared" si="20"/>
        <v>0</v>
      </c>
      <c r="AF18" s="45">
        <f t="shared" si="21"/>
        <v>7775.0599999999977</v>
      </c>
      <c r="AG18" s="45" t="s">
        <v>118</v>
      </c>
      <c r="AH18" s="35">
        <v>12</v>
      </c>
      <c r="AI18" s="35" t="s">
        <v>15</v>
      </c>
      <c r="AJ18" s="35" t="s">
        <v>15</v>
      </c>
      <c r="AK18" s="35" t="s">
        <v>160</v>
      </c>
      <c r="AL18" s="35" t="s">
        <v>119</v>
      </c>
      <c r="AN18" s="41">
        <f t="shared" si="11"/>
        <v>7775.0599999999977</v>
      </c>
    </row>
    <row r="19" spans="1:40" s="37" customFormat="1" ht="72" x14ac:dyDescent="0.3">
      <c r="A19" s="37">
        <v>402</v>
      </c>
      <c r="B19" s="35" t="s">
        <v>214</v>
      </c>
      <c r="C19" s="35" t="s">
        <v>215</v>
      </c>
      <c r="D19" s="35" t="s">
        <v>149</v>
      </c>
      <c r="E19" s="38">
        <v>44854</v>
      </c>
      <c r="F19" s="38">
        <v>46387</v>
      </c>
      <c r="G19" s="39">
        <f t="shared" si="12"/>
        <v>1533</v>
      </c>
      <c r="H19" s="40">
        <f t="shared" si="13"/>
        <v>0.58317025440313108</v>
      </c>
      <c r="I19" s="41">
        <v>5000000</v>
      </c>
      <c r="J19" s="41">
        <v>-2000000</v>
      </c>
      <c r="K19" s="41"/>
      <c r="L19" s="42">
        <f t="shared" si="14"/>
        <v>3000000</v>
      </c>
      <c r="M19" s="41">
        <v>5000000</v>
      </c>
      <c r="N19" s="42">
        <f t="shared" si="15"/>
        <v>-2000000</v>
      </c>
      <c r="O19" s="45">
        <v>5000000</v>
      </c>
      <c r="P19" s="45" t="s">
        <v>216</v>
      </c>
      <c r="Q19" s="35" t="s">
        <v>217</v>
      </c>
      <c r="R19" s="35" t="s">
        <v>218</v>
      </c>
      <c r="S19" s="35" t="s">
        <v>219</v>
      </c>
      <c r="T19" s="35" t="s">
        <v>220</v>
      </c>
      <c r="U19" s="35" t="s">
        <v>17</v>
      </c>
      <c r="V19" s="45">
        <v>3000000</v>
      </c>
      <c r="W19" s="41">
        <v>0</v>
      </c>
      <c r="X19" s="42">
        <f t="shared" si="16"/>
        <v>3000000</v>
      </c>
      <c r="Y19" s="41">
        <v>24753.68</v>
      </c>
      <c r="Z19" s="45">
        <v>155960.78</v>
      </c>
      <c r="AA19" s="42">
        <f t="shared" si="17"/>
        <v>180714.46</v>
      </c>
      <c r="AB19" s="43">
        <f t="shared" si="18"/>
        <v>3.6142891999999996E-2</v>
      </c>
      <c r="AC19" s="41">
        <v>-2000000</v>
      </c>
      <c r="AD19" s="42">
        <f t="shared" si="19"/>
        <v>3000000</v>
      </c>
      <c r="AE19" s="42">
        <f t="shared" si="20"/>
        <v>2000000</v>
      </c>
      <c r="AF19" s="44">
        <f t="shared" si="21"/>
        <v>0</v>
      </c>
      <c r="AG19" s="45" t="s">
        <v>118</v>
      </c>
      <c r="AH19" s="35" t="s">
        <v>21</v>
      </c>
      <c r="AI19" s="35" t="s">
        <v>15</v>
      </c>
      <c r="AJ19" s="35" t="s">
        <v>15</v>
      </c>
      <c r="AK19" s="35" t="s">
        <v>25</v>
      </c>
      <c r="AL19" s="35" t="s">
        <v>126</v>
      </c>
      <c r="AN19" s="42">
        <f t="shared" si="11"/>
        <v>2819285.54</v>
      </c>
    </row>
    <row r="20" spans="1:40" s="37" customFormat="1" ht="43.2" x14ac:dyDescent="0.3">
      <c r="A20" s="37">
        <v>402</v>
      </c>
      <c r="B20" s="35" t="s">
        <v>221</v>
      </c>
      <c r="C20" s="35" t="s">
        <v>222</v>
      </c>
      <c r="D20" s="35" t="s">
        <v>149</v>
      </c>
      <c r="E20" s="38">
        <v>44854</v>
      </c>
      <c r="F20" s="38">
        <v>45838</v>
      </c>
      <c r="G20" s="39">
        <f t="shared" si="12"/>
        <v>984</v>
      </c>
      <c r="H20" s="40">
        <f t="shared" si="13"/>
        <v>0.90853658536585369</v>
      </c>
      <c r="I20" s="41">
        <v>2909528</v>
      </c>
      <c r="J20" s="41">
        <v>-400000</v>
      </c>
      <c r="K20" s="41"/>
      <c r="L20" s="42">
        <f t="shared" si="14"/>
        <v>2509528</v>
      </c>
      <c r="M20" s="41">
        <v>2909528</v>
      </c>
      <c r="N20" s="42">
        <f t="shared" si="15"/>
        <v>-400000</v>
      </c>
      <c r="O20" s="45">
        <v>2909528</v>
      </c>
      <c r="P20" s="45" t="s">
        <v>223</v>
      </c>
      <c r="Q20" s="35" t="s">
        <v>224</v>
      </c>
      <c r="R20" s="35" t="s">
        <v>225</v>
      </c>
      <c r="S20" s="35" t="s">
        <v>226</v>
      </c>
      <c r="T20" s="35" t="s">
        <v>227</v>
      </c>
      <c r="U20" s="35" t="s">
        <v>22</v>
      </c>
      <c r="V20" s="45">
        <v>2509527.75</v>
      </c>
      <c r="W20" s="41">
        <v>0</v>
      </c>
      <c r="X20" s="42">
        <f t="shared" si="16"/>
        <v>2509527.75</v>
      </c>
      <c r="Y20" s="41">
        <v>2173071.61</v>
      </c>
      <c r="Z20" s="45">
        <v>1809.13</v>
      </c>
      <c r="AA20" s="42">
        <f t="shared" si="17"/>
        <v>2174880.7399999998</v>
      </c>
      <c r="AB20" s="43">
        <f t="shared" si="18"/>
        <v>0.74750294205795575</v>
      </c>
      <c r="AC20" s="41">
        <v>-400000</v>
      </c>
      <c r="AD20" s="42">
        <f t="shared" si="19"/>
        <v>2509528</v>
      </c>
      <c r="AE20" s="42">
        <f t="shared" si="20"/>
        <v>400000</v>
      </c>
      <c r="AF20" s="44">
        <v>0</v>
      </c>
      <c r="AG20" s="45" t="s">
        <v>118</v>
      </c>
      <c r="AH20" s="35">
        <v>0</v>
      </c>
      <c r="AI20" s="35" t="s">
        <v>15</v>
      </c>
      <c r="AJ20" s="35" t="s">
        <v>15</v>
      </c>
      <c r="AK20" s="35" t="s">
        <v>25</v>
      </c>
      <c r="AL20" s="35" t="s">
        <v>153</v>
      </c>
      <c r="AM20" s="35" t="s">
        <v>168</v>
      </c>
      <c r="AN20" s="42">
        <f t="shared" si="11"/>
        <v>334647.26000000024</v>
      </c>
    </row>
    <row r="21" spans="1:40" s="37" customFormat="1" ht="43.2" x14ac:dyDescent="0.3">
      <c r="A21" s="37">
        <v>402</v>
      </c>
      <c r="B21" s="35" t="s">
        <v>228</v>
      </c>
      <c r="C21" s="35" t="s">
        <v>229</v>
      </c>
      <c r="D21" s="35">
        <v>3151</v>
      </c>
      <c r="E21" s="38">
        <v>44854</v>
      </c>
      <c r="F21" s="38">
        <v>45107</v>
      </c>
      <c r="G21" s="39">
        <f t="shared" si="12"/>
        <v>253</v>
      </c>
      <c r="H21" s="40">
        <f t="shared" si="13"/>
        <v>1</v>
      </c>
      <c r="I21" s="41">
        <v>240000</v>
      </c>
      <c r="J21" s="41">
        <v>-20101.62</v>
      </c>
      <c r="K21" s="41"/>
      <c r="L21" s="42">
        <f t="shared" si="14"/>
        <v>219898.38</v>
      </c>
      <c r="M21" s="41">
        <v>219898.38</v>
      </c>
      <c r="N21" s="42">
        <f t="shared" si="15"/>
        <v>0</v>
      </c>
      <c r="O21" s="45">
        <v>240000</v>
      </c>
      <c r="P21" s="45" t="s">
        <v>230</v>
      </c>
      <c r="Q21" s="35" t="s">
        <v>231</v>
      </c>
      <c r="R21" s="35" t="s">
        <v>232</v>
      </c>
      <c r="S21" s="35" t="s">
        <v>233</v>
      </c>
      <c r="T21" s="35" t="s">
        <v>213</v>
      </c>
      <c r="U21" s="35" t="s">
        <v>26</v>
      </c>
      <c r="V21" s="45">
        <v>219898.38</v>
      </c>
      <c r="W21" s="41">
        <v>0</v>
      </c>
      <c r="X21" s="42">
        <f t="shared" si="16"/>
        <v>219898.38</v>
      </c>
      <c r="Y21" s="41">
        <v>219898.38</v>
      </c>
      <c r="Z21" s="45">
        <v>0</v>
      </c>
      <c r="AA21" s="42">
        <f t="shared" si="17"/>
        <v>219898.38</v>
      </c>
      <c r="AB21" s="43">
        <f t="shared" si="18"/>
        <v>0.91624325000000006</v>
      </c>
      <c r="AC21" s="41">
        <v>-20101.62</v>
      </c>
      <c r="AD21" s="42">
        <f t="shared" si="19"/>
        <v>219898.38</v>
      </c>
      <c r="AE21" s="42">
        <f t="shared" si="20"/>
        <v>0</v>
      </c>
      <c r="AF21" s="44">
        <f t="shared" ref="AF21:AF27" si="22">AD21-X21</f>
        <v>0</v>
      </c>
      <c r="AG21" s="45" t="s">
        <v>118</v>
      </c>
      <c r="AH21" s="35" t="s">
        <v>21</v>
      </c>
      <c r="AI21" s="35" t="s">
        <v>15</v>
      </c>
      <c r="AJ21" s="35" t="s">
        <v>15</v>
      </c>
      <c r="AK21" s="35" t="s">
        <v>25</v>
      </c>
      <c r="AL21" s="35" t="s">
        <v>119</v>
      </c>
      <c r="AN21" s="42">
        <f t="shared" si="11"/>
        <v>0</v>
      </c>
    </row>
    <row r="22" spans="1:40" s="37" customFormat="1" ht="158.4" x14ac:dyDescent="0.3">
      <c r="A22" s="37">
        <v>402</v>
      </c>
      <c r="B22" s="35" t="s">
        <v>234</v>
      </c>
      <c r="C22" s="35" t="s">
        <v>235</v>
      </c>
      <c r="D22" s="35" t="s">
        <v>149</v>
      </c>
      <c r="E22" s="38">
        <v>44854</v>
      </c>
      <c r="F22" s="38">
        <v>46387</v>
      </c>
      <c r="G22" s="39">
        <f t="shared" si="12"/>
        <v>1533</v>
      </c>
      <c r="H22" s="40">
        <f t="shared" si="13"/>
        <v>0.58317025440313108</v>
      </c>
      <c r="I22" s="41">
        <v>2090000</v>
      </c>
      <c r="J22" s="41">
        <v>-59280</v>
      </c>
      <c r="K22" s="41"/>
      <c r="L22" s="42">
        <f t="shared" si="14"/>
        <v>2030720</v>
      </c>
      <c r="M22" s="41">
        <v>2090000</v>
      </c>
      <c r="N22" s="42">
        <f t="shared" si="15"/>
        <v>-59280</v>
      </c>
      <c r="O22" s="45">
        <v>2090000</v>
      </c>
      <c r="P22" s="45" t="s">
        <v>236</v>
      </c>
      <c r="Q22" s="35" t="s">
        <v>237</v>
      </c>
      <c r="R22" s="35" t="s">
        <v>238</v>
      </c>
      <c r="S22" s="35" t="s">
        <v>21</v>
      </c>
      <c r="T22" s="35" t="s">
        <v>239</v>
      </c>
      <c r="U22" s="35" t="s">
        <v>22</v>
      </c>
      <c r="V22" s="45">
        <v>2030668.26</v>
      </c>
      <c r="W22" s="41">
        <v>0</v>
      </c>
      <c r="X22" s="42">
        <f t="shared" si="16"/>
        <v>2030668.26</v>
      </c>
      <c r="Y22" s="41">
        <v>1898936</v>
      </c>
      <c r="Z22" s="45">
        <v>0</v>
      </c>
      <c r="AA22" s="42">
        <f t="shared" si="17"/>
        <v>1898936</v>
      </c>
      <c r="AB22" s="43">
        <f t="shared" si="18"/>
        <v>0.90858181818181816</v>
      </c>
      <c r="AC22" s="41">
        <v>-59280</v>
      </c>
      <c r="AD22" s="42">
        <f t="shared" si="19"/>
        <v>2030720</v>
      </c>
      <c r="AE22" s="42">
        <f t="shared" si="20"/>
        <v>59280</v>
      </c>
      <c r="AF22" s="44">
        <f t="shared" si="22"/>
        <v>51.739999999990687</v>
      </c>
      <c r="AG22" s="45" t="s">
        <v>118</v>
      </c>
      <c r="AH22" s="35">
        <v>13</v>
      </c>
      <c r="AI22" s="35" t="s">
        <v>15</v>
      </c>
      <c r="AJ22" s="35" t="s">
        <v>15</v>
      </c>
      <c r="AK22" s="35" t="s">
        <v>25</v>
      </c>
      <c r="AL22" s="35" t="s">
        <v>153</v>
      </c>
      <c r="AM22" s="35" t="s">
        <v>168</v>
      </c>
      <c r="AN22" s="42">
        <f t="shared" si="11"/>
        <v>131784</v>
      </c>
    </row>
    <row r="23" spans="1:40" s="37" customFormat="1" ht="43.2" x14ac:dyDescent="0.3">
      <c r="A23" s="37">
        <v>402</v>
      </c>
      <c r="B23" s="35" t="s">
        <v>240</v>
      </c>
      <c r="C23" s="35" t="s">
        <v>241</v>
      </c>
      <c r="D23" s="35">
        <v>3279</v>
      </c>
      <c r="E23" s="38">
        <v>44791</v>
      </c>
      <c r="F23" s="38">
        <v>45107</v>
      </c>
      <c r="G23" s="39">
        <f t="shared" si="12"/>
        <v>316</v>
      </c>
      <c r="H23" s="40">
        <f t="shared" si="13"/>
        <v>3.028481012658228</v>
      </c>
      <c r="I23" s="41">
        <v>3816</v>
      </c>
      <c r="J23" s="41">
        <v>0</v>
      </c>
      <c r="K23" s="41"/>
      <c r="L23" s="42">
        <f t="shared" si="14"/>
        <v>3816</v>
      </c>
      <c r="M23" s="41">
        <v>3816</v>
      </c>
      <c r="N23" s="42">
        <f t="shared" si="15"/>
        <v>0</v>
      </c>
      <c r="O23" s="45">
        <v>3816</v>
      </c>
      <c r="P23" s="45" t="s">
        <v>242</v>
      </c>
      <c r="Q23" s="35" t="s">
        <v>243</v>
      </c>
      <c r="R23" s="35" t="s">
        <v>21</v>
      </c>
      <c r="S23" s="35" t="s">
        <v>21</v>
      </c>
      <c r="T23" s="35" t="s">
        <v>244</v>
      </c>
      <c r="U23" s="35" t="s">
        <v>245</v>
      </c>
      <c r="V23" s="45">
        <v>3816</v>
      </c>
      <c r="W23" s="41"/>
      <c r="X23" s="42">
        <f t="shared" si="16"/>
        <v>3816</v>
      </c>
      <c r="Y23" s="41">
        <v>0</v>
      </c>
      <c r="Z23" s="45"/>
      <c r="AA23" s="42">
        <f t="shared" si="17"/>
        <v>0</v>
      </c>
      <c r="AB23" s="43">
        <f t="shared" si="18"/>
        <v>0</v>
      </c>
      <c r="AC23" s="46"/>
      <c r="AD23" s="42">
        <f t="shared" si="19"/>
        <v>3816</v>
      </c>
      <c r="AE23" s="42">
        <f t="shared" si="20"/>
        <v>0</v>
      </c>
      <c r="AF23" s="44">
        <f t="shared" si="22"/>
        <v>0</v>
      </c>
      <c r="AG23" s="45" t="s">
        <v>118</v>
      </c>
      <c r="AH23" s="35" t="s">
        <v>21</v>
      </c>
      <c r="AI23" s="35" t="s">
        <v>21</v>
      </c>
      <c r="AJ23" s="35" t="s">
        <v>15</v>
      </c>
      <c r="AK23" s="35" t="s">
        <v>160</v>
      </c>
      <c r="AL23" s="35" t="s">
        <v>119</v>
      </c>
      <c r="AN23" s="42">
        <f t="shared" si="11"/>
        <v>3816</v>
      </c>
    </row>
    <row r="24" spans="1:40" s="37" customFormat="1" ht="115.2" x14ac:dyDescent="0.3">
      <c r="A24" s="37">
        <v>402</v>
      </c>
      <c r="B24" s="35" t="s">
        <v>246</v>
      </c>
      <c r="C24" s="35" t="s">
        <v>247</v>
      </c>
      <c r="D24" s="35" t="s">
        <v>149</v>
      </c>
      <c r="E24" s="38">
        <v>44854</v>
      </c>
      <c r="F24" s="38">
        <v>45657</v>
      </c>
      <c r="G24" s="39">
        <f t="shared" si="12"/>
        <v>803</v>
      </c>
      <c r="H24" s="40">
        <f t="shared" si="13"/>
        <v>1.1133250311332503</v>
      </c>
      <c r="I24" s="41">
        <v>470000</v>
      </c>
      <c r="J24" s="41">
        <v>0</v>
      </c>
      <c r="K24" s="41"/>
      <c r="L24" s="42">
        <f t="shared" si="14"/>
        <v>470000</v>
      </c>
      <c r="M24" s="41">
        <v>470000</v>
      </c>
      <c r="N24" s="42">
        <f t="shared" si="15"/>
        <v>0</v>
      </c>
      <c r="O24" s="45">
        <v>470000</v>
      </c>
      <c r="P24" s="45" t="s">
        <v>248</v>
      </c>
      <c r="Q24" s="35" t="s">
        <v>249</v>
      </c>
      <c r="R24" s="35" t="s">
        <v>250</v>
      </c>
      <c r="S24" s="35" t="s">
        <v>251</v>
      </c>
      <c r="T24" s="35" t="s">
        <v>252</v>
      </c>
      <c r="U24" s="35" t="s">
        <v>22</v>
      </c>
      <c r="V24" s="45">
        <v>470000</v>
      </c>
      <c r="W24" s="41">
        <v>0</v>
      </c>
      <c r="X24" s="42">
        <f t="shared" si="16"/>
        <v>470000</v>
      </c>
      <c r="Y24" s="41">
        <v>364538.73</v>
      </c>
      <c r="Z24" s="45">
        <v>30729.68</v>
      </c>
      <c r="AA24" s="42">
        <f t="shared" si="17"/>
        <v>395268.41</v>
      </c>
      <c r="AB24" s="43">
        <f t="shared" si="18"/>
        <v>0.84099661702127659</v>
      </c>
      <c r="AC24" s="47">
        <v>0</v>
      </c>
      <c r="AD24" s="42">
        <f t="shared" si="19"/>
        <v>470000</v>
      </c>
      <c r="AE24" s="42">
        <f t="shared" si="20"/>
        <v>0</v>
      </c>
      <c r="AF24" s="44">
        <f t="shared" si="22"/>
        <v>0</v>
      </c>
      <c r="AG24" s="45" t="s">
        <v>253</v>
      </c>
      <c r="AH24" s="35" t="s">
        <v>21</v>
      </c>
      <c r="AI24" s="35" t="s">
        <v>15</v>
      </c>
      <c r="AJ24" s="35" t="s">
        <v>15</v>
      </c>
      <c r="AK24" s="35" t="s">
        <v>25</v>
      </c>
      <c r="AL24" s="35" t="s">
        <v>119</v>
      </c>
      <c r="AN24" s="42">
        <f t="shared" si="11"/>
        <v>74731.590000000026</v>
      </c>
    </row>
    <row r="25" spans="1:40" s="37" customFormat="1" ht="144" x14ac:dyDescent="0.3">
      <c r="A25" s="37">
        <v>402</v>
      </c>
      <c r="B25" s="35" t="s">
        <v>254</v>
      </c>
      <c r="C25" s="35" t="s">
        <v>255</v>
      </c>
      <c r="D25" s="35">
        <v>3208</v>
      </c>
      <c r="E25" s="38">
        <v>44854</v>
      </c>
      <c r="F25" s="38">
        <v>45657</v>
      </c>
      <c r="G25" s="39">
        <f t="shared" si="12"/>
        <v>803</v>
      </c>
      <c r="H25" s="40">
        <f t="shared" si="13"/>
        <v>1</v>
      </c>
      <c r="I25" s="41">
        <v>199200</v>
      </c>
      <c r="J25" s="41"/>
      <c r="K25" s="41"/>
      <c r="L25" s="42">
        <f t="shared" si="14"/>
        <v>199200</v>
      </c>
      <c r="M25" s="41">
        <v>199200</v>
      </c>
      <c r="N25" s="42">
        <f t="shared" si="15"/>
        <v>0</v>
      </c>
      <c r="O25" s="45">
        <v>199200</v>
      </c>
      <c r="P25" s="45" t="s">
        <v>256</v>
      </c>
      <c r="Q25" s="35" t="s">
        <v>257</v>
      </c>
      <c r="R25" s="35" t="s">
        <v>1080</v>
      </c>
      <c r="S25" s="35" t="s">
        <v>258</v>
      </c>
      <c r="T25" s="35" t="s">
        <v>244</v>
      </c>
      <c r="U25" s="35" t="s">
        <v>26</v>
      </c>
      <c r="V25" s="45">
        <v>166050</v>
      </c>
      <c r="W25" s="41"/>
      <c r="X25" s="42">
        <f>V25+W25</f>
        <v>166050</v>
      </c>
      <c r="Y25" s="41">
        <v>166050</v>
      </c>
      <c r="Z25" s="45"/>
      <c r="AA25" s="42">
        <f t="shared" si="17"/>
        <v>166050</v>
      </c>
      <c r="AB25" s="43">
        <f t="shared" si="18"/>
        <v>0.83358433734939763</v>
      </c>
      <c r="AC25" s="51">
        <v>-33150</v>
      </c>
      <c r="AD25" s="42">
        <f t="shared" si="19"/>
        <v>166050</v>
      </c>
      <c r="AE25" s="42">
        <f t="shared" si="20"/>
        <v>33150</v>
      </c>
      <c r="AF25" s="44">
        <f t="shared" si="22"/>
        <v>0</v>
      </c>
      <c r="AG25" s="45" t="s">
        <v>118</v>
      </c>
      <c r="AH25" s="35" t="s">
        <v>21</v>
      </c>
      <c r="AI25" s="35" t="s">
        <v>15</v>
      </c>
      <c r="AJ25" s="35" t="s">
        <v>15</v>
      </c>
      <c r="AK25" s="35" t="s">
        <v>25</v>
      </c>
      <c r="AL25" s="35" t="s">
        <v>119</v>
      </c>
      <c r="AM25" s="35" t="s">
        <v>259</v>
      </c>
      <c r="AN25" s="42">
        <f t="shared" si="11"/>
        <v>0</v>
      </c>
    </row>
    <row r="26" spans="1:40" s="37" customFormat="1" ht="86.4" x14ac:dyDescent="0.3">
      <c r="A26" s="37">
        <v>402</v>
      </c>
      <c r="B26" s="35" t="s">
        <v>260</v>
      </c>
      <c r="C26" s="35" t="s">
        <v>261</v>
      </c>
      <c r="D26" s="35">
        <v>3208</v>
      </c>
      <c r="E26" s="38">
        <v>44790</v>
      </c>
      <c r="F26" s="38">
        <v>45154</v>
      </c>
      <c r="G26" s="39">
        <f t="shared" si="12"/>
        <v>364</v>
      </c>
      <c r="H26" s="40">
        <f t="shared" si="13"/>
        <v>1</v>
      </c>
      <c r="I26" s="41">
        <v>5201</v>
      </c>
      <c r="J26" s="41"/>
      <c r="K26" s="41"/>
      <c r="L26" s="42">
        <f t="shared" si="14"/>
        <v>5201</v>
      </c>
      <c r="M26" s="41">
        <v>5201</v>
      </c>
      <c r="N26" s="42">
        <f t="shared" si="15"/>
        <v>0</v>
      </c>
      <c r="O26" s="45">
        <v>5201</v>
      </c>
      <c r="P26" s="45" t="s">
        <v>262</v>
      </c>
      <c r="Q26" s="35" t="s">
        <v>263</v>
      </c>
      <c r="R26" s="35" t="s">
        <v>264</v>
      </c>
      <c r="S26" s="35" t="s">
        <v>265</v>
      </c>
      <c r="T26" s="35" t="s">
        <v>266</v>
      </c>
      <c r="U26" s="35" t="s">
        <v>26</v>
      </c>
      <c r="V26" s="45">
        <v>4276.04</v>
      </c>
      <c r="W26" s="41"/>
      <c r="X26" s="42">
        <f t="shared" si="16"/>
        <v>4276.04</v>
      </c>
      <c r="Y26" s="41">
        <v>4276.04</v>
      </c>
      <c r="Z26" s="45"/>
      <c r="AA26" s="42">
        <f t="shared" si="17"/>
        <v>4276.04</v>
      </c>
      <c r="AB26" s="43">
        <f t="shared" si="18"/>
        <v>0.82215727744664491</v>
      </c>
      <c r="AC26" s="51">
        <v>-924.96</v>
      </c>
      <c r="AD26" s="42">
        <f t="shared" si="19"/>
        <v>4276.04</v>
      </c>
      <c r="AE26" s="42">
        <f t="shared" si="20"/>
        <v>924.96</v>
      </c>
      <c r="AF26" s="44">
        <f t="shared" si="22"/>
        <v>0</v>
      </c>
      <c r="AG26" s="45" t="s">
        <v>118</v>
      </c>
      <c r="AH26" s="35" t="s">
        <v>21</v>
      </c>
      <c r="AI26" s="35" t="s">
        <v>15</v>
      </c>
      <c r="AJ26" s="35" t="s">
        <v>15</v>
      </c>
      <c r="AK26" s="35" t="s">
        <v>25</v>
      </c>
      <c r="AL26" s="35" t="s">
        <v>119</v>
      </c>
      <c r="AM26" s="35" t="s">
        <v>267</v>
      </c>
      <c r="AN26" s="42">
        <f t="shared" si="11"/>
        <v>0</v>
      </c>
    </row>
    <row r="27" spans="1:40" s="37" customFormat="1" ht="57.6" x14ac:dyDescent="0.3">
      <c r="A27" s="37">
        <v>402</v>
      </c>
      <c r="B27" s="35" t="s">
        <v>268</v>
      </c>
      <c r="C27" s="35" t="s">
        <v>269</v>
      </c>
      <c r="D27" s="35" t="s">
        <v>149</v>
      </c>
      <c r="E27" s="38">
        <v>44854</v>
      </c>
      <c r="F27" s="38">
        <v>45657</v>
      </c>
      <c r="G27" s="39">
        <f t="shared" si="12"/>
        <v>803</v>
      </c>
      <c r="H27" s="40">
        <f t="shared" si="13"/>
        <v>1</v>
      </c>
      <c r="I27" s="41">
        <v>1788960</v>
      </c>
      <c r="J27" s="41">
        <v>-1788960</v>
      </c>
      <c r="K27" s="41"/>
      <c r="L27" s="42">
        <f t="shared" si="14"/>
        <v>0</v>
      </c>
      <c r="M27" s="41"/>
      <c r="N27" s="42">
        <f t="shared" si="15"/>
        <v>0</v>
      </c>
      <c r="O27" s="45">
        <v>1788960</v>
      </c>
      <c r="P27" s="45" t="s">
        <v>270</v>
      </c>
      <c r="Q27" s="35" t="s">
        <v>271</v>
      </c>
      <c r="R27" s="35" t="s">
        <v>272</v>
      </c>
      <c r="S27" s="183" t="s">
        <v>273</v>
      </c>
      <c r="T27" s="35" t="s">
        <v>274</v>
      </c>
      <c r="U27" s="35" t="s">
        <v>26</v>
      </c>
      <c r="V27" s="45">
        <v>0</v>
      </c>
      <c r="W27" s="41">
        <v>0</v>
      </c>
      <c r="X27" s="42">
        <f t="shared" si="16"/>
        <v>0</v>
      </c>
      <c r="Y27" s="41">
        <v>0</v>
      </c>
      <c r="Z27" s="45">
        <v>0</v>
      </c>
      <c r="AA27" s="42">
        <f t="shared" si="17"/>
        <v>0</v>
      </c>
      <c r="AB27" s="43">
        <f t="shared" si="18"/>
        <v>0</v>
      </c>
      <c r="AC27" s="47">
        <v>-1788960</v>
      </c>
      <c r="AD27" s="42">
        <f t="shared" si="19"/>
        <v>0</v>
      </c>
      <c r="AE27" s="42">
        <f t="shared" si="20"/>
        <v>0</v>
      </c>
      <c r="AF27" s="44">
        <f t="shared" si="22"/>
        <v>0</v>
      </c>
      <c r="AG27" s="45" t="s">
        <v>21</v>
      </c>
      <c r="AH27" s="35" t="s">
        <v>21</v>
      </c>
      <c r="AI27" s="35" t="s">
        <v>21</v>
      </c>
      <c r="AJ27" s="35" t="s">
        <v>15</v>
      </c>
      <c r="AK27" s="35" t="s">
        <v>20</v>
      </c>
      <c r="AL27" s="35" t="s">
        <v>153</v>
      </c>
      <c r="AN27" s="42">
        <f t="shared" si="11"/>
        <v>0</v>
      </c>
    </row>
    <row r="28" spans="1:40" s="37" customFormat="1" ht="72" x14ac:dyDescent="0.3">
      <c r="A28" s="37">
        <v>402</v>
      </c>
      <c r="B28" s="35" t="s">
        <v>275</v>
      </c>
      <c r="C28" s="35" t="s">
        <v>276</v>
      </c>
      <c r="D28" s="35">
        <v>3279</v>
      </c>
      <c r="E28" s="38">
        <v>44854</v>
      </c>
      <c r="F28" s="38">
        <v>45657</v>
      </c>
      <c r="G28" s="39">
        <f t="shared" si="12"/>
        <v>803</v>
      </c>
      <c r="H28" s="40">
        <f t="shared" si="13"/>
        <v>1.1133250311332503</v>
      </c>
      <c r="I28" s="41">
        <v>14520000</v>
      </c>
      <c r="J28" s="41">
        <v>-2000000</v>
      </c>
      <c r="K28" s="41"/>
      <c r="L28" s="42">
        <f t="shared" si="14"/>
        <v>12520000</v>
      </c>
      <c r="M28" s="41">
        <v>14520000</v>
      </c>
      <c r="N28" s="42">
        <f t="shared" si="15"/>
        <v>-2000000</v>
      </c>
      <c r="O28" s="45">
        <v>14520000</v>
      </c>
      <c r="P28" s="45" t="s">
        <v>277</v>
      </c>
      <c r="Q28" s="35" t="s">
        <v>278</v>
      </c>
      <c r="R28" s="35" t="s">
        <v>279</v>
      </c>
      <c r="S28" s="35" t="s">
        <v>21</v>
      </c>
      <c r="T28" s="35" t="s">
        <v>280</v>
      </c>
      <c r="U28" s="35" t="s">
        <v>17</v>
      </c>
      <c r="V28" s="45">
        <v>499377.39</v>
      </c>
      <c r="W28" s="41"/>
      <c r="X28" s="42">
        <f t="shared" si="16"/>
        <v>499377.39</v>
      </c>
      <c r="Y28" s="41">
        <v>499377.39</v>
      </c>
      <c r="Z28" s="45"/>
      <c r="AA28" s="42">
        <f t="shared" si="17"/>
        <v>499377.39</v>
      </c>
      <c r="AB28" s="43">
        <f t="shared" si="18"/>
        <v>3.4392382231404957E-2</v>
      </c>
      <c r="AC28" s="47">
        <v>-2000000</v>
      </c>
      <c r="AD28" s="42">
        <f t="shared" si="19"/>
        <v>12520000</v>
      </c>
      <c r="AE28" s="42">
        <f t="shared" si="20"/>
        <v>2000000</v>
      </c>
      <c r="AF28" s="44">
        <v>0</v>
      </c>
      <c r="AG28" s="45" t="s">
        <v>118</v>
      </c>
      <c r="AH28" s="35">
        <v>0</v>
      </c>
      <c r="AI28" s="35" t="s">
        <v>15</v>
      </c>
      <c r="AJ28" s="35" t="s">
        <v>15</v>
      </c>
      <c r="AK28" s="35" t="s">
        <v>25</v>
      </c>
      <c r="AL28" s="35" t="s">
        <v>161</v>
      </c>
      <c r="AN28" s="42">
        <f t="shared" si="11"/>
        <v>12020622.609999999</v>
      </c>
    </row>
    <row r="29" spans="1:40" s="37" customFormat="1" ht="54.75" customHeight="1" x14ac:dyDescent="0.3">
      <c r="A29" s="37">
        <v>402</v>
      </c>
      <c r="B29" s="35" t="s">
        <v>281</v>
      </c>
      <c r="C29" s="35" t="s">
        <v>282</v>
      </c>
      <c r="D29" s="35" t="s">
        <v>149</v>
      </c>
      <c r="E29" s="38">
        <v>44854</v>
      </c>
      <c r="F29" s="38">
        <v>46022</v>
      </c>
      <c r="G29" s="39">
        <f t="shared" si="12"/>
        <v>1168</v>
      </c>
      <c r="H29" s="40">
        <f t="shared" si="13"/>
        <v>0.7654109589041096</v>
      </c>
      <c r="I29" s="41">
        <v>4000000</v>
      </c>
      <c r="J29" s="41">
        <v>0</v>
      </c>
      <c r="K29" s="41"/>
      <c r="L29" s="42">
        <f t="shared" si="14"/>
        <v>4000000</v>
      </c>
      <c r="M29" s="41">
        <v>4000000</v>
      </c>
      <c r="N29" s="42">
        <f t="shared" si="15"/>
        <v>0</v>
      </c>
      <c r="O29" s="45">
        <v>4000000</v>
      </c>
      <c r="P29" s="45" t="s">
        <v>283</v>
      </c>
      <c r="Q29" s="35" t="s">
        <v>284</v>
      </c>
      <c r="R29" s="35" t="s">
        <v>285</v>
      </c>
      <c r="S29" s="35" t="s">
        <v>21</v>
      </c>
      <c r="T29" s="35" t="s">
        <v>286</v>
      </c>
      <c r="U29" s="35" t="s">
        <v>17</v>
      </c>
      <c r="V29" s="45">
        <v>4000000</v>
      </c>
      <c r="W29" s="41">
        <v>0</v>
      </c>
      <c r="X29" s="42">
        <f t="shared" si="16"/>
        <v>4000000</v>
      </c>
      <c r="Y29" s="41">
        <v>1462147.72</v>
      </c>
      <c r="Z29" s="45">
        <v>381971.24</v>
      </c>
      <c r="AA29" s="42">
        <f t="shared" si="17"/>
        <v>1844118.96</v>
      </c>
      <c r="AB29" s="43">
        <f t="shared" si="18"/>
        <v>0.46102973999999997</v>
      </c>
      <c r="AC29" s="47">
        <v>0</v>
      </c>
      <c r="AD29" s="42">
        <f t="shared" si="19"/>
        <v>4000000</v>
      </c>
      <c r="AE29" s="42">
        <f t="shared" si="20"/>
        <v>0</v>
      </c>
      <c r="AF29" s="44">
        <f>AD29-X29</f>
        <v>0</v>
      </c>
      <c r="AG29" s="45" t="s">
        <v>118</v>
      </c>
      <c r="AH29" s="35" t="s">
        <v>21</v>
      </c>
      <c r="AI29" s="35" t="s">
        <v>15</v>
      </c>
      <c r="AJ29" s="35" t="s">
        <v>15</v>
      </c>
      <c r="AK29" s="35" t="s">
        <v>25</v>
      </c>
      <c r="AL29" s="35" t="s">
        <v>119</v>
      </c>
      <c r="AM29" s="52"/>
      <c r="AN29" s="42">
        <f t="shared" si="11"/>
        <v>2155881.04</v>
      </c>
    </row>
    <row r="30" spans="1:40" s="37" customFormat="1" ht="57.6" x14ac:dyDescent="0.3">
      <c r="A30" s="37">
        <v>402</v>
      </c>
      <c r="B30" s="35" t="s">
        <v>287</v>
      </c>
      <c r="C30" s="35" t="s">
        <v>288</v>
      </c>
      <c r="D30" s="35">
        <v>3279</v>
      </c>
      <c r="E30" s="38">
        <v>44791</v>
      </c>
      <c r="F30" s="38">
        <v>45107</v>
      </c>
      <c r="G30" s="39">
        <f t="shared" si="12"/>
        <v>316</v>
      </c>
      <c r="H30" s="40">
        <f>IF(U30="Completed",1,($B$1-E30)/G30)</f>
        <v>1</v>
      </c>
      <c r="I30" s="41">
        <v>10516</v>
      </c>
      <c r="J30" s="41"/>
      <c r="K30" s="41"/>
      <c r="L30" s="42">
        <f t="shared" si="14"/>
        <v>10516</v>
      </c>
      <c r="M30" s="41">
        <v>10516</v>
      </c>
      <c r="N30" s="42">
        <f t="shared" si="15"/>
        <v>0</v>
      </c>
      <c r="O30" s="45">
        <v>10516</v>
      </c>
      <c r="P30" s="45" t="s">
        <v>289</v>
      </c>
      <c r="Q30" s="35" t="s">
        <v>290</v>
      </c>
      <c r="R30" s="35" t="s">
        <v>291</v>
      </c>
      <c r="S30" s="35" t="s">
        <v>21</v>
      </c>
      <c r="T30" s="35" t="s">
        <v>195</v>
      </c>
      <c r="U30" s="35" t="s">
        <v>26</v>
      </c>
      <c r="V30" s="45">
        <v>10516</v>
      </c>
      <c r="W30" s="41"/>
      <c r="X30" s="42">
        <f t="shared" si="16"/>
        <v>10516</v>
      </c>
      <c r="Y30" s="41">
        <v>10516</v>
      </c>
      <c r="Z30" s="45"/>
      <c r="AA30" s="42">
        <f t="shared" si="17"/>
        <v>10516</v>
      </c>
      <c r="AB30" s="43">
        <f t="shared" si="18"/>
        <v>1</v>
      </c>
      <c r="AC30" s="46">
        <v>0</v>
      </c>
      <c r="AD30" s="42">
        <f t="shared" si="19"/>
        <v>10516</v>
      </c>
      <c r="AE30" s="42">
        <f t="shared" si="20"/>
        <v>0</v>
      </c>
      <c r="AF30" s="44">
        <f>AD30-X30</f>
        <v>0</v>
      </c>
      <c r="AG30" s="45" t="s">
        <v>118</v>
      </c>
      <c r="AH30" s="35">
        <v>41</v>
      </c>
      <c r="AI30" s="35" t="s">
        <v>15</v>
      </c>
      <c r="AJ30" s="35">
        <v>0</v>
      </c>
      <c r="AK30" s="35" t="s">
        <v>160</v>
      </c>
      <c r="AL30" s="35" t="s">
        <v>119</v>
      </c>
      <c r="AN30" s="42">
        <f t="shared" si="11"/>
        <v>0</v>
      </c>
    </row>
    <row r="31" spans="1:40" s="37" customFormat="1" ht="57.6" x14ac:dyDescent="0.3">
      <c r="A31" s="37">
        <v>402</v>
      </c>
      <c r="B31" s="35" t="s">
        <v>292</v>
      </c>
      <c r="C31" s="35" t="s">
        <v>293</v>
      </c>
      <c r="D31" s="35">
        <v>3278</v>
      </c>
      <c r="E31" s="38">
        <v>45383</v>
      </c>
      <c r="F31" s="38">
        <v>45657</v>
      </c>
      <c r="G31" s="39">
        <v>274</v>
      </c>
      <c r="H31" s="40">
        <v>0.11</v>
      </c>
      <c r="I31" s="53">
        <v>118560</v>
      </c>
      <c r="J31" s="53"/>
      <c r="K31" s="53"/>
      <c r="L31" s="42">
        <v>118560</v>
      </c>
      <c r="M31" s="53">
        <v>118560</v>
      </c>
      <c r="N31" s="42" t="s">
        <v>294</v>
      </c>
      <c r="O31" s="49">
        <v>118560</v>
      </c>
      <c r="P31" s="49" t="s">
        <v>295</v>
      </c>
      <c r="Q31" s="35" t="s">
        <v>296</v>
      </c>
      <c r="R31" s="35" t="s">
        <v>297</v>
      </c>
      <c r="S31" s="35" t="s">
        <v>298</v>
      </c>
      <c r="T31" s="35" t="s">
        <v>299</v>
      </c>
      <c r="U31" s="35" t="s">
        <v>300</v>
      </c>
      <c r="V31" s="49">
        <v>116253.72</v>
      </c>
      <c r="W31" s="41">
        <v>0</v>
      </c>
      <c r="X31" s="42">
        <f>V31+W31</f>
        <v>116253.72</v>
      </c>
      <c r="Y31" s="41">
        <v>116253.72</v>
      </c>
      <c r="Z31" s="45">
        <v>0</v>
      </c>
      <c r="AA31" s="42">
        <f t="shared" si="17"/>
        <v>116253.72</v>
      </c>
      <c r="AB31" s="43">
        <f t="shared" si="18"/>
        <v>0.98054757085020239</v>
      </c>
      <c r="AC31" s="54"/>
      <c r="AD31" s="42">
        <f t="shared" si="19"/>
        <v>118560</v>
      </c>
      <c r="AE31" s="42">
        <f t="shared" si="20"/>
        <v>0</v>
      </c>
      <c r="AF31" s="44">
        <f>AD31-X31</f>
        <v>2306.2799999999988</v>
      </c>
      <c r="AG31" s="49" t="s">
        <v>301</v>
      </c>
      <c r="AH31" s="35" t="s">
        <v>21</v>
      </c>
      <c r="AI31" s="35" t="s">
        <v>15</v>
      </c>
      <c r="AJ31" s="35" t="s">
        <v>15</v>
      </c>
      <c r="AK31" s="35" t="s">
        <v>25</v>
      </c>
      <c r="AL31" s="35" t="s">
        <v>119</v>
      </c>
      <c r="AN31" s="42">
        <f t="shared" si="11"/>
        <v>2306.2799999999988</v>
      </c>
    </row>
    <row r="32" spans="1:40" s="37" customFormat="1" ht="57.6" x14ac:dyDescent="0.3">
      <c r="A32" s="37">
        <v>402</v>
      </c>
      <c r="B32" s="35" t="s">
        <v>302</v>
      </c>
      <c r="C32" s="35" t="s">
        <v>303</v>
      </c>
      <c r="D32" s="35" t="s">
        <v>149</v>
      </c>
      <c r="E32" s="38">
        <v>45108</v>
      </c>
      <c r="F32" s="38">
        <v>45838</v>
      </c>
      <c r="G32" s="39">
        <f>F32-E32</f>
        <v>730</v>
      </c>
      <c r="H32" s="40">
        <f>IF(U32="Completed",1,($B$1-E32)/G32)</f>
        <v>0.87671232876712324</v>
      </c>
      <c r="I32" s="41">
        <v>843813</v>
      </c>
      <c r="J32" s="41">
        <v>0</v>
      </c>
      <c r="K32" s="41"/>
      <c r="L32" s="42">
        <f>I32+J32+K32</f>
        <v>843813</v>
      </c>
      <c r="M32" s="41">
        <v>843813</v>
      </c>
      <c r="N32" s="42">
        <f>L32-M32</f>
        <v>0</v>
      </c>
      <c r="O32" s="45">
        <v>843813</v>
      </c>
      <c r="P32" s="45" t="s">
        <v>304</v>
      </c>
      <c r="Q32" s="35" t="s">
        <v>305</v>
      </c>
      <c r="R32" s="55" t="s">
        <v>306</v>
      </c>
      <c r="S32" s="55" t="s">
        <v>21</v>
      </c>
      <c r="T32" s="35" t="s">
        <v>307</v>
      </c>
      <c r="U32" s="35" t="s">
        <v>22</v>
      </c>
      <c r="V32" s="45">
        <v>843813</v>
      </c>
      <c r="W32" s="41">
        <v>0</v>
      </c>
      <c r="X32" s="42">
        <f>V32+W32</f>
        <v>843813</v>
      </c>
      <c r="Y32" s="41">
        <v>656745.5</v>
      </c>
      <c r="Z32" s="45">
        <v>51720.51</v>
      </c>
      <c r="AA32" s="42">
        <f>Y32+Z32</f>
        <v>708466.01</v>
      </c>
      <c r="AB32" s="43">
        <f>AA32/O32</f>
        <v>0.83960072907148864</v>
      </c>
      <c r="AC32" s="47">
        <v>0</v>
      </c>
      <c r="AD32" s="42">
        <f>O32+AC32</f>
        <v>843813</v>
      </c>
      <c r="AE32" s="42">
        <f>M32-AD32</f>
        <v>0</v>
      </c>
      <c r="AF32" s="44">
        <f>AD32-X32</f>
        <v>0</v>
      </c>
      <c r="AG32" s="45" t="s">
        <v>118</v>
      </c>
      <c r="AH32" s="35">
        <v>120</v>
      </c>
      <c r="AI32" s="35" t="s">
        <v>15</v>
      </c>
      <c r="AJ32" s="35" t="s">
        <v>15</v>
      </c>
      <c r="AK32" s="35" t="s">
        <v>25</v>
      </c>
      <c r="AL32" s="35" t="s">
        <v>126</v>
      </c>
      <c r="AM32" s="75" t="s">
        <v>75</v>
      </c>
      <c r="AN32" s="42">
        <f t="shared" si="11"/>
        <v>135346.99</v>
      </c>
    </row>
    <row r="33" spans="1:40" s="37" customFormat="1" ht="72" x14ac:dyDescent="0.3">
      <c r="A33" s="37">
        <v>403</v>
      </c>
      <c r="B33" s="37" t="s">
        <v>308</v>
      </c>
      <c r="C33" s="35" t="s">
        <v>309</v>
      </c>
      <c r="D33" s="35">
        <v>3158</v>
      </c>
      <c r="E33" s="38">
        <v>44663</v>
      </c>
      <c r="F33" s="38">
        <v>44742</v>
      </c>
      <c r="G33" s="39">
        <f t="shared" si="0"/>
        <v>79</v>
      </c>
      <c r="H33" s="40">
        <f t="shared" si="6"/>
        <v>1</v>
      </c>
      <c r="I33" s="41">
        <v>619026</v>
      </c>
      <c r="J33" s="41">
        <v>-12457.1</v>
      </c>
      <c r="K33" s="41"/>
      <c r="L33" s="42">
        <f t="shared" si="7"/>
        <v>606568.9</v>
      </c>
      <c r="M33" s="41">
        <v>606568.9</v>
      </c>
      <c r="N33" s="42">
        <f t="shared" si="8"/>
        <v>0</v>
      </c>
      <c r="O33" s="45">
        <v>619026</v>
      </c>
      <c r="P33" s="45" t="s">
        <v>310</v>
      </c>
      <c r="Q33" s="35" t="s">
        <v>311</v>
      </c>
      <c r="R33" s="35" t="s">
        <v>312</v>
      </c>
      <c r="S33" s="35" t="s">
        <v>21</v>
      </c>
      <c r="T33" s="35" t="s">
        <v>213</v>
      </c>
      <c r="U33" s="35" t="s">
        <v>26</v>
      </c>
      <c r="V33" s="45">
        <v>606569</v>
      </c>
      <c r="W33" s="41"/>
      <c r="X33" s="42">
        <f t="shared" si="1"/>
        <v>606569</v>
      </c>
      <c r="Y33" s="45">
        <v>606568.9</v>
      </c>
      <c r="Z33" s="45">
        <v>0</v>
      </c>
      <c r="AA33" s="42">
        <f t="shared" si="9"/>
        <v>606568.9</v>
      </c>
      <c r="AB33" s="43">
        <f t="shared" si="2"/>
        <v>0.97987628952580352</v>
      </c>
      <c r="AC33" s="41">
        <f>-12457.1</f>
        <v>-12457.1</v>
      </c>
      <c r="AD33" s="42">
        <f t="shared" si="3"/>
        <v>606568.9</v>
      </c>
      <c r="AE33" s="42">
        <f t="shared" si="10"/>
        <v>0</v>
      </c>
      <c r="AF33" s="44">
        <f>AD33-X33</f>
        <v>-9.9999999976716936E-2</v>
      </c>
      <c r="AG33" s="45" t="s">
        <v>313</v>
      </c>
      <c r="AH33" s="35" t="s">
        <v>21</v>
      </c>
      <c r="AI33" s="35" t="s">
        <v>21</v>
      </c>
      <c r="AJ33" s="35" t="s">
        <v>15</v>
      </c>
      <c r="AK33" s="35" t="s">
        <v>25</v>
      </c>
      <c r="AL33" s="35" t="s">
        <v>133</v>
      </c>
      <c r="AM33" s="35" t="s">
        <v>314</v>
      </c>
      <c r="AN33" s="42">
        <f t="shared" si="11"/>
        <v>0</v>
      </c>
    </row>
    <row r="34" spans="1:40" s="37" customFormat="1" ht="57.6" x14ac:dyDescent="0.3">
      <c r="A34" s="37">
        <v>403</v>
      </c>
      <c r="B34" s="37" t="s">
        <v>315</v>
      </c>
      <c r="C34" s="35" t="s">
        <v>316</v>
      </c>
      <c r="D34" s="35">
        <v>3158</v>
      </c>
      <c r="E34" s="38">
        <v>44854</v>
      </c>
      <c r="F34" s="38">
        <v>45107</v>
      </c>
      <c r="G34" s="39">
        <f t="shared" si="0"/>
        <v>253</v>
      </c>
      <c r="H34" s="40">
        <f t="shared" si="6"/>
        <v>1</v>
      </c>
      <c r="I34" s="41">
        <v>160000</v>
      </c>
      <c r="J34" s="41">
        <v>-16050</v>
      </c>
      <c r="K34" s="41"/>
      <c r="L34" s="42">
        <f t="shared" si="7"/>
        <v>143950</v>
      </c>
      <c r="M34" s="41">
        <v>143950</v>
      </c>
      <c r="N34" s="42">
        <f t="shared" si="8"/>
        <v>0</v>
      </c>
      <c r="O34" s="45">
        <v>160000</v>
      </c>
      <c r="P34" s="45" t="s">
        <v>317</v>
      </c>
      <c r="Q34" s="35" t="s">
        <v>1081</v>
      </c>
      <c r="R34" s="35" t="s">
        <v>318</v>
      </c>
      <c r="S34" s="35" t="s">
        <v>21</v>
      </c>
      <c r="T34" s="35" t="s">
        <v>213</v>
      </c>
      <c r="U34" s="35" t="s">
        <v>26</v>
      </c>
      <c r="V34" s="45">
        <v>143950</v>
      </c>
      <c r="W34" s="41"/>
      <c r="X34" s="42">
        <f t="shared" si="1"/>
        <v>143950</v>
      </c>
      <c r="Y34" s="45">
        <v>143950</v>
      </c>
      <c r="Z34" s="45">
        <v>0</v>
      </c>
      <c r="AA34" s="42">
        <f t="shared" si="9"/>
        <v>143950</v>
      </c>
      <c r="AB34" s="43">
        <f t="shared" si="2"/>
        <v>0.89968749999999997</v>
      </c>
      <c r="AC34" s="41">
        <v>-16050</v>
      </c>
      <c r="AD34" s="42">
        <f t="shared" si="3"/>
        <v>143950</v>
      </c>
      <c r="AE34" s="42">
        <f t="shared" si="10"/>
        <v>0</v>
      </c>
      <c r="AF34" s="44">
        <f t="shared" ref="AF34:AF48" si="23">AD34-X34</f>
        <v>0</v>
      </c>
      <c r="AG34" s="45" t="s">
        <v>313</v>
      </c>
      <c r="AH34" s="35" t="s">
        <v>21</v>
      </c>
      <c r="AI34" s="35" t="s">
        <v>21</v>
      </c>
      <c r="AJ34" s="35" t="s">
        <v>15</v>
      </c>
      <c r="AK34" s="35" t="s">
        <v>25</v>
      </c>
      <c r="AL34" s="35" t="s">
        <v>119</v>
      </c>
      <c r="AM34" s="35" t="s">
        <v>319</v>
      </c>
      <c r="AN34" s="42">
        <f t="shared" si="11"/>
        <v>0</v>
      </c>
    </row>
    <row r="35" spans="1:40" s="37" customFormat="1" ht="129.6" x14ac:dyDescent="0.3">
      <c r="A35" s="37">
        <v>403</v>
      </c>
      <c r="B35" s="37" t="s">
        <v>320</v>
      </c>
      <c r="C35" s="35" t="s">
        <v>321</v>
      </c>
      <c r="D35" s="35">
        <v>3158</v>
      </c>
      <c r="E35" s="38">
        <v>44854</v>
      </c>
      <c r="F35" s="38">
        <v>45107</v>
      </c>
      <c r="G35" s="39">
        <f t="shared" si="0"/>
        <v>253</v>
      </c>
      <c r="H35" s="40">
        <f t="shared" si="6"/>
        <v>1</v>
      </c>
      <c r="I35" s="41">
        <v>750000</v>
      </c>
      <c r="J35" s="41">
        <v>-750000</v>
      </c>
      <c r="K35" s="41"/>
      <c r="L35" s="42">
        <f t="shared" si="7"/>
        <v>0</v>
      </c>
      <c r="M35" s="41">
        <v>0</v>
      </c>
      <c r="N35" s="42">
        <f t="shared" si="8"/>
        <v>0</v>
      </c>
      <c r="O35" s="45">
        <v>750000</v>
      </c>
      <c r="P35" s="45" t="s">
        <v>322</v>
      </c>
      <c r="Q35" s="56" t="s">
        <v>323</v>
      </c>
      <c r="R35" s="35" t="s">
        <v>1082</v>
      </c>
      <c r="S35" s="35" t="s">
        <v>21</v>
      </c>
      <c r="T35" s="35" t="s">
        <v>324</v>
      </c>
      <c r="U35" s="35" t="s">
        <v>26</v>
      </c>
      <c r="V35" s="45">
        <v>0</v>
      </c>
      <c r="W35" s="41"/>
      <c r="X35" s="42">
        <f t="shared" si="1"/>
        <v>0</v>
      </c>
      <c r="Y35" s="45">
        <v>0</v>
      </c>
      <c r="Z35" s="45">
        <v>0</v>
      </c>
      <c r="AA35" s="42">
        <f t="shared" si="9"/>
        <v>0</v>
      </c>
      <c r="AB35" s="43"/>
      <c r="AC35" s="41">
        <v>-750000</v>
      </c>
      <c r="AD35" s="42">
        <f t="shared" si="3"/>
        <v>0</v>
      </c>
      <c r="AE35" s="42">
        <f t="shared" si="10"/>
        <v>0</v>
      </c>
      <c r="AF35" s="44">
        <f t="shared" si="23"/>
        <v>0</v>
      </c>
      <c r="AG35" s="45" t="s">
        <v>313</v>
      </c>
      <c r="AH35" s="35" t="s">
        <v>21</v>
      </c>
      <c r="AI35" s="35" t="s">
        <v>21</v>
      </c>
      <c r="AJ35" s="35" t="s">
        <v>15</v>
      </c>
      <c r="AK35" s="35" t="s">
        <v>25</v>
      </c>
      <c r="AL35" s="35" t="s">
        <v>133</v>
      </c>
      <c r="AM35" s="57" t="s">
        <v>325</v>
      </c>
      <c r="AN35" s="42">
        <f t="shared" si="11"/>
        <v>0</v>
      </c>
    </row>
    <row r="36" spans="1:40" s="37" customFormat="1" ht="100.8" x14ac:dyDescent="0.3">
      <c r="A36" s="37">
        <v>403</v>
      </c>
      <c r="B36" s="37" t="s">
        <v>326</v>
      </c>
      <c r="C36" s="35" t="s">
        <v>327</v>
      </c>
      <c r="D36" s="35">
        <v>3158</v>
      </c>
      <c r="E36" s="38">
        <v>44854</v>
      </c>
      <c r="F36" s="38">
        <v>45838</v>
      </c>
      <c r="G36" s="39">
        <f t="shared" ref="G36:G48" si="24">F36-E36</f>
        <v>984</v>
      </c>
      <c r="H36" s="40">
        <f t="shared" ref="H36:H48" si="25">IF(U36="Completed",1,($B$1-E36)/G36)</f>
        <v>1</v>
      </c>
      <c r="I36" s="41">
        <v>5500000</v>
      </c>
      <c r="J36" s="41">
        <v>-5494300</v>
      </c>
      <c r="K36" s="41"/>
      <c r="L36" s="42">
        <f t="shared" si="7"/>
        <v>5700</v>
      </c>
      <c r="M36" s="41">
        <v>5700</v>
      </c>
      <c r="N36" s="42">
        <f t="shared" si="8"/>
        <v>0</v>
      </c>
      <c r="O36" s="45">
        <v>5500000</v>
      </c>
      <c r="P36" s="45" t="s">
        <v>328</v>
      </c>
      <c r="Q36" s="56" t="s">
        <v>1083</v>
      </c>
      <c r="R36" s="35" t="s">
        <v>329</v>
      </c>
      <c r="S36" s="35" t="s">
        <v>330</v>
      </c>
      <c r="T36" s="35" t="s">
        <v>331</v>
      </c>
      <c r="U36" s="35" t="s">
        <v>26</v>
      </c>
      <c r="V36" s="45">
        <v>5700</v>
      </c>
      <c r="W36" s="41"/>
      <c r="X36" s="42">
        <f t="shared" ref="X36:X48" si="26">V36+W36</f>
        <v>5700</v>
      </c>
      <c r="Y36" s="45">
        <v>5700</v>
      </c>
      <c r="Z36" s="45">
        <v>0</v>
      </c>
      <c r="AA36" s="42">
        <f t="shared" ref="AA36:AA48" si="27">Y36+Z36</f>
        <v>5700</v>
      </c>
      <c r="AB36" s="43">
        <f t="shared" ref="AB36:AB48" si="28">AA36/O36</f>
        <v>1.0363636363636363E-3</v>
      </c>
      <c r="AC36" s="41">
        <v>-5494300</v>
      </c>
      <c r="AD36" s="42">
        <f t="shared" ref="AD36:AD48" si="29">O36+AC36</f>
        <v>5700</v>
      </c>
      <c r="AE36" s="42">
        <f t="shared" si="10"/>
        <v>0</v>
      </c>
      <c r="AF36" s="44">
        <f t="shared" si="23"/>
        <v>0</v>
      </c>
      <c r="AG36" s="45" t="s">
        <v>313</v>
      </c>
      <c r="AH36" s="35" t="s">
        <v>21</v>
      </c>
      <c r="AI36" s="35" t="s">
        <v>21</v>
      </c>
      <c r="AJ36" s="35" t="s">
        <v>15</v>
      </c>
      <c r="AK36" s="35" t="s">
        <v>25</v>
      </c>
      <c r="AL36" s="35" t="s">
        <v>126</v>
      </c>
      <c r="AM36" s="57" t="s">
        <v>332</v>
      </c>
      <c r="AN36" s="42">
        <f t="shared" si="11"/>
        <v>0</v>
      </c>
    </row>
    <row r="37" spans="1:40" s="37" customFormat="1" ht="78.75" customHeight="1" x14ac:dyDescent="0.3">
      <c r="A37" s="37">
        <v>403</v>
      </c>
      <c r="B37" s="37" t="s">
        <v>333</v>
      </c>
      <c r="C37" s="35" t="s">
        <v>334</v>
      </c>
      <c r="D37" s="35">
        <v>3158</v>
      </c>
      <c r="E37" s="38">
        <v>44854</v>
      </c>
      <c r="F37" s="38">
        <v>45657</v>
      </c>
      <c r="G37" s="39">
        <f t="shared" si="24"/>
        <v>803</v>
      </c>
      <c r="H37" s="40">
        <f t="shared" si="25"/>
        <v>1</v>
      </c>
      <c r="I37" s="41">
        <v>2206575</v>
      </c>
      <c r="J37" s="41">
        <f>-1206575-250000</f>
        <v>-1456575</v>
      </c>
      <c r="K37" s="41"/>
      <c r="L37" s="42">
        <f t="shared" si="7"/>
        <v>750000</v>
      </c>
      <c r="M37" s="41">
        <v>750000</v>
      </c>
      <c r="N37" s="42">
        <f t="shared" si="8"/>
        <v>0</v>
      </c>
      <c r="O37" s="45">
        <v>2206575</v>
      </c>
      <c r="P37" s="45" t="s">
        <v>335</v>
      </c>
      <c r="Q37" s="35" t="s">
        <v>336</v>
      </c>
      <c r="R37" s="35" t="s">
        <v>337</v>
      </c>
      <c r="S37" s="35" t="s">
        <v>21</v>
      </c>
      <c r="T37" s="35" t="s">
        <v>213</v>
      </c>
      <c r="U37" s="35" t="s">
        <v>26</v>
      </c>
      <c r="V37" s="45">
        <v>750000</v>
      </c>
      <c r="W37" s="41"/>
      <c r="X37" s="42">
        <f t="shared" si="26"/>
        <v>750000</v>
      </c>
      <c r="Y37" s="45">
        <v>650508.33000000007</v>
      </c>
      <c r="Z37" s="45">
        <v>0</v>
      </c>
      <c r="AA37" s="42">
        <f t="shared" si="27"/>
        <v>650508.33000000007</v>
      </c>
      <c r="AB37" s="43">
        <f t="shared" si="28"/>
        <v>0.29480454097413417</v>
      </c>
      <c r="AC37" s="41">
        <f>-1206575-250000</f>
        <v>-1456575</v>
      </c>
      <c r="AD37" s="42">
        <f t="shared" ref="AD37" si="30">O37+AC37</f>
        <v>750000</v>
      </c>
      <c r="AE37" s="42">
        <f t="shared" ref="AE37" si="31">M37-AD37</f>
        <v>0</v>
      </c>
      <c r="AF37" s="44">
        <f>AD37-X37</f>
        <v>0</v>
      </c>
      <c r="AG37" s="45" t="s">
        <v>313</v>
      </c>
      <c r="AH37" s="35" t="s">
        <v>21</v>
      </c>
      <c r="AI37" s="35" t="s">
        <v>21</v>
      </c>
      <c r="AJ37" s="35" t="s">
        <v>15</v>
      </c>
      <c r="AK37" s="35" t="s">
        <v>25</v>
      </c>
      <c r="AL37" s="35" t="s">
        <v>133</v>
      </c>
      <c r="AM37" s="57" t="s">
        <v>338</v>
      </c>
      <c r="AN37" s="42">
        <f t="shared" si="11"/>
        <v>99491.669999999925</v>
      </c>
    </row>
    <row r="38" spans="1:40" s="37" customFormat="1" ht="77.400000000000006" customHeight="1" x14ac:dyDescent="0.3">
      <c r="A38" s="37">
        <v>403</v>
      </c>
      <c r="B38" s="37" t="s">
        <v>339</v>
      </c>
      <c r="C38" s="35" t="s">
        <v>340</v>
      </c>
      <c r="D38" s="35">
        <v>3158</v>
      </c>
      <c r="E38" s="38">
        <v>44854</v>
      </c>
      <c r="F38" s="38">
        <v>45838</v>
      </c>
      <c r="G38" s="39">
        <f t="shared" si="24"/>
        <v>984</v>
      </c>
      <c r="H38" s="40">
        <f t="shared" si="25"/>
        <v>1</v>
      </c>
      <c r="I38" s="41">
        <v>3901293</v>
      </c>
      <c r="J38" s="41">
        <v>-3901293</v>
      </c>
      <c r="K38" s="41"/>
      <c r="L38" s="42">
        <f t="shared" si="7"/>
        <v>0</v>
      </c>
      <c r="M38" s="41">
        <v>0</v>
      </c>
      <c r="N38" s="42">
        <f t="shared" si="8"/>
        <v>0</v>
      </c>
      <c r="O38" s="45">
        <v>3901293</v>
      </c>
      <c r="P38" s="45" t="s">
        <v>341</v>
      </c>
      <c r="Q38" s="56" t="s">
        <v>342</v>
      </c>
      <c r="R38" s="35" t="s">
        <v>343</v>
      </c>
      <c r="S38" s="35" t="s">
        <v>21</v>
      </c>
      <c r="T38" s="35" t="s">
        <v>344</v>
      </c>
      <c r="U38" s="35" t="s">
        <v>26</v>
      </c>
      <c r="V38" s="45">
        <v>0</v>
      </c>
      <c r="W38" s="41"/>
      <c r="X38" s="42">
        <f t="shared" si="26"/>
        <v>0</v>
      </c>
      <c r="Y38" s="45">
        <v>0</v>
      </c>
      <c r="Z38" s="45">
        <v>0</v>
      </c>
      <c r="AA38" s="42">
        <f t="shared" si="27"/>
        <v>0</v>
      </c>
      <c r="AB38" s="43"/>
      <c r="AC38" s="41">
        <v>-3901293</v>
      </c>
      <c r="AD38" s="42">
        <f t="shared" si="29"/>
        <v>0</v>
      </c>
      <c r="AE38" s="42">
        <f t="shared" si="10"/>
        <v>0</v>
      </c>
      <c r="AF38" s="44">
        <f t="shared" si="23"/>
        <v>0</v>
      </c>
      <c r="AG38" s="45" t="s">
        <v>313</v>
      </c>
      <c r="AH38" s="35" t="s">
        <v>21</v>
      </c>
      <c r="AI38" s="35" t="s">
        <v>21</v>
      </c>
      <c r="AJ38" s="35" t="s">
        <v>15</v>
      </c>
      <c r="AK38" s="35" t="s">
        <v>20</v>
      </c>
      <c r="AL38" s="35" t="s">
        <v>133</v>
      </c>
      <c r="AM38" s="57" t="s">
        <v>345</v>
      </c>
      <c r="AN38" s="42">
        <f t="shared" si="11"/>
        <v>0</v>
      </c>
    </row>
    <row r="39" spans="1:40" s="37" customFormat="1" ht="72" x14ac:dyDescent="0.3">
      <c r="A39" s="37">
        <v>403</v>
      </c>
      <c r="B39" s="37" t="s">
        <v>346</v>
      </c>
      <c r="C39" s="35" t="s">
        <v>347</v>
      </c>
      <c r="D39" s="35">
        <v>3158</v>
      </c>
      <c r="E39" s="38">
        <v>44854</v>
      </c>
      <c r="F39" s="38">
        <v>45838</v>
      </c>
      <c r="G39" s="39">
        <f t="shared" si="24"/>
        <v>984</v>
      </c>
      <c r="H39" s="40">
        <f t="shared" si="25"/>
        <v>0.90853658536585369</v>
      </c>
      <c r="I39" s="41">
        <v>1554741</v>
      </c>
      <c r="J39" s="41">
        <f>-1475274.22+855354+872042</f>
        <v>252121.78000000003</v>
      </c>
      <c r="K39" s="41">
        <v>-355515</v>
      </c>
      <c r="L39" s="42">
        <f t="shared" si="7"/>
        <v>1451347.78</v>
      </c>
      <c r="M39" s="41">
        <f>855354+872042</f>
        <v>1727396</v>
      </c>
      <c r="N39" s="42">
        <f t="shared" si="8"/>
        <v>-276048.21999999997</v>
      </c>
      <c r="O39" s="45">
        <v>1554741</v>
      </c>
      <c r="P39" s="45" t="s">
        <v>348</v>
      </c>
      <c r="Q39" s="35" t="s">
        <v>349</v>
      </c>
      <c r="R39" s="35" t="s">
        <v>350</v>
      </c>
      <c r="S39" s="35" t="s">
        <v>351</v>
      </c>
      <c r="T39" s="177" t="s">
        <v>352</v>
      </c>
      <c r="U39" s="35" t="s">
        <v>22</v>
      </c>
      <c r="V39" s="45">
        <v>974465.29</v>
      </c>
      <c r="W39" s="41"/>
      <c r="X39" s="42">
        <f t="shared" si="26"/>
        <v>974465.29</v>
      </c>
      <c r="Y39" s="45">
        <v>968034.54999999993</v>
      </c>
      <c r="Z39" s="49">
        <v>70135.53</v>
      </c>
      <c r="AA39" s="42">
        <f t="shared" ref="AA39:AA46" si="32">Y39+Z39</f>
        <v>1038170.08</v>
      </c>
      <c r="AB39" s="43">
        <f>AA39/O39</f>
        <v>0.66774471117697409</v>
      </c>
      <c r="AC39" s="53">
        <f>-254340.12-65150.41-59344-69912.51</f>
        <v>-448747.04000000004</v>
      </c>
      <c r="AD39" s="42">
        <f>O39+AC39</f>
        <v>1105993.96</v>
      </c>
      <c r="AE39" s="42">
        <f t="shared" ref="AE39:AE46" si="33">M39-AD39</f>
        <v>621402.04</v>
      </c>
      <c r="AF39" s="44">
        <f>AD39-X39</f>
        <v>131528.66999999993</v>
      </c>
      <c r="AG39" s="49" t="s">
        <v>353</v>
      </c>
      <c r="AH39" s="35" t="s">
        <v>21</v>
      </c>
      <c r="AI39" s="35" t="s">
        <v>21</v>
      </c>
      <c r="AJ39" s="35" t="s">
        <v>15</v>
      </c>
      <c r="AK39" s="35" t="s">
        <v>25</v>
      </c>
      <c r="AL39" s="35" t="s">
        <v>126</v>
      </c>
      <c r="AM39" s="57" t="s">
        <v>354</v>
      </c>
      <c r="AN39" s="42">
        <f t="shared" ref="AN39:AN46" si="34">AD39-AA39</f>
        <v>67823.88</v>
      </c>
    </row>
    <row r="40" spans="1:40" s="37" customFormat="1" ht="129.6" x14ac:dyDescent="0.3">
      <c r="A40" s="37">
        <v>403</v>
      </c>
      <c r="B40" s="37" t="s">
        <v>355</v>
      </c>
      <c r="C40" s="35" t="s">
        <v>356</v>
      </c>
      <c r="D40" s="35">
        <v>3158</v>
      </c>
      <c r="E40" s="38">
        <v>44854</v>
      </c>
      <c r="F40" s="38">
        <v>46203</v>
      </c>
      <c r="G40" s="39">
        <f t="shared" si="24"/>
        <v>1349</v>
      </c>
      <c r="H40" s="40">
        <f t="shared" si="25"/>
        <v>0.66271312083024458</v>
      </c>
      <c r="I40" s="41">
        <v>3499995</v>
      </c>
      <c r="J40" s="41">
        <v>0</v>
      </c>
      <c r="K40" s="41">
        <v>0</v>
      </c>
      <c r="L40" s="42">
        <f t="shared" si="7"/>
        <v>3499995</v>
      </c>
      <c r="M40" s="41">
        <v>3499995</v>
      </c>
      <c r="N40" s="42">
        <f t="shared" si="8"/>
        <v>0</v>
      </c>
      <c r="O40" s="45">
        <v>3499995</v>
      </c>
      <c r="P40" s="45" t="s">
        <v>357</v>
      </c>
      <c r="Q40" s="35" t="s">
        <v>358</v>
      </c>
      <c r="R40" s="35" t="s">
        <v>359</v>
      </c>
      <c r="S40" s="35" t="s">
        <v>21</v>
      </c>
      <c r="T40" s="184" t="s">
        <v>360</v>
      </c>
      <c r="U40" s="35" t="s">
        <v>22</v>
      </c>
      <c r="V40" s="45">
        <v>3499995</v>
      </c>
      <c r="W40" s="41"/>
      <c r="X40" s="42">
        <f t="shared" si="26"/>
        <v>3499995</v>
      </c>
      <c r="Y40" s="45">
        <v>2192780</v>
      </c>
      <c r="Z40" s="49">
        <v>119060.48</v>
      </c>
      <c r="AA40" s="42">
        <f t="shared" si="32"/>
        <v>2311840.48</v>
      </c>
      <c r="AB40" s="43">
        <f>AA40/O40</f>
        <v>0.6605267950382786</v>
      </c>
      <c r="AC40" s="53"/>
      <c r="AD40" s="42">
        <f t="shared" ref="AD40:AD46" si="35">O40+AC40</f>
        <v>3499995</v>
      </c>
      <c r="AE40" s="42">
        <f t="shared" si="33"/>
        <v>0</v>
      </c>
      <c r="AF40" s="44">
        <f t="shared" ref="AF40:AF46" si="36">AD40-X40</f>
        <v>0</v>
      </c>
      <c r="AG40" s="49" t="s">
        <v>313</v>
      </c>
      <c r="AH40" s="35" t="s">
        <v>21</v>
      </c>
      <c r="AI40" s="35" t="s">
        <v>21</v>
      </c>
      <c r="AJ40" s="35" t="s">
        <v>15</v>
      </c>
      <c r="AK40" s="35" t="s">
        <v>25</v>
      </c>
      <c r="AL40" s="35" t="s">
        <v>126</v>
      </c>
      <c r="AN40" s="42">
        <f t="shared" si="34"/>
        <v>1188154.52</v>
      </c>
    </row>
    <row r="41" spans="1:40" s="37" customFormat="1" ht="100.8" x14ac:dyDescent="0.3">
      <c r="A41" s="37">
        <v>403</v>
      </c>
      <c r="B41" s="37" t="s">
        <v>361</v>
      </c>
      <c r="C41" s="35" t="s">
        <v>362</v>
      </c>
      <c r="D41" s="35">
        <v>3158</v>
      </c>
      <c r="E41" s="38">
        <v>44854</v>
      </c>
      <c r="F41" s="38">
        <v>46203</v>
      </c>
      <c r="G41" s="39">
        <f t="shared" si="24"/>
        <v>1349</v>
      </c>
      <c r="H41" s="40">
        <f t="shared" si="25"/>
        <v>0.66271312083024458</v>
      </c>
      <c r="I41" s="41">
        <v>2736000</v>
      </c>
      <c r="J41" s="41">
        <v>0</v>
      </c>
      <c r="K41" s="41"/>
      <c r="L41" s="42">
        <f t="shared" si="7"/>
        <v>2736000</v>
      </c>
      <c r="M41" s="41">
        <v>2736000</v>
      </c>
      <c r="N41" s="42">
        <f t="shared" si="8"/>
        <v>0</v>
      </c>
      <c r="O41" s="45">
        <v>2736000</v>
      </c>
      <c r="P41" s="45" t="s">
        <v>363</v>
      </c>
      <c r="Q41" s="35" t="s">
        <v>364</v>
      </c>
      <c r="R41" s="35" t="s">
        <v>365</v>
      </c>
      <c r="S41" s="35" t="s">
        <v>21</v>
      </c>
      <c r="T41" s="177" t="s">
        <v>366</v>
      </c>
      <c r="U41" s="35" t="s">
        <v>22</v>
      </c>
      <c r="V41" s="45">
        <v>2658957.41</v>
      </c>
      <c r="W41" s="41"/>
      <c r="X41" s="42">
        <f t="shared" si="26"/>
        <v>2658957.41</v>
      </c>
      <c r="Y41" s="45">
        <v>1815360.33</v>
      </c>
      <c r="Z41" s="49">
        <v>131209.18</v>
      </c>
      <c r="AA41" s="42">
        <f t="shared" si="32"/>
        <v>1946569.51</v>
      </c>
      <c r="AB41" s="43">
        <f>AA41/O41</f>
        <v>0.71146546418128653</v>
      </c>
      <c r="AC41" s="53"/>
      <c r="AD41" s="42">
        <f t="shared" si="35"/>
        <v>2736000</v>
      </c>
      <c r="AE41" s="42">
        <f t="shared" si="33"/>
        <v>0</v>
      </c>
      <c r="AF41" s="44">
        <f t="shared" si="36"/>
        <v>77042.589999999851</v>
      </c>
      <c r="AG41" s="49" t="s">
        <v>313</v>
      </c>
      <c r="AH41" s="35" t="s">
        <v>367</v>
      </c>
      <c r="AI41" s="35" t="s">
        <v>21</v>
      </c>
      <c r="AJ41" s="35" t="s">
        <v>15</v>
      </c>
      <c r="AK41" s="35" t="s">
        <v>25</v>
      </c>
      <c r="AL41" s="35" t="s">
        <v>133</v>
      </c>
      <c r="AN41" s="42">
        <f t="shared" si="34"/>
        <v>789430.49</v>
      </c>
    </row>
    <row r="42" spans="1:40" s="37" customFormat="1" ht="115.2" x14ac:dyDescent="0.3">
      <c r="A42" s="37">
        <v>403</v>
      </c>
      <c r="B42" s="37" t="s">
        <v>368</v>
      </c>
      <c r="C42" s="35" t="s">
        <v>369</v>
      </c>
      <c r="D42" s="35">
        <v>3158</v>
      </c>
      <c r="E42" s="38">
        <v>44854</v>
      </c>
      <c r="F42" s="38">
        <v>46203</v>
      </c>
      <c r="G42" s="39">
        <f t="shared" si="24"/>
        <v>1349</v>
      </c>
      <c r="H42" s="40">
        <f t="shared" si="25"/>
        <v>0.66271312083024458</v>
      </c>
      <c r="I42" s="41">
        <v>1383665</v>
      </c>
      <c r="J42" s="41">
        <v>0</v>
      </c>
      <c r="K42" s="41"/>
      <c r="L42" s="42">
        <f t="shared" si="7"/>
        <v>1383665</v>
      </c>
      <c r="M42" s="41">
        <v>1383665</v>
      </c>
      <c r="N42" s="42">
        <f t="shared" si="8"/>
        <v>0</v>
      </c>
      <c r="O42" s="45">
        <v>1383665</v>
      </c>
      <c r="P42" s="45" t="s">
        <v>370</v>
      </c>
      <c r="Q42" s="35" t="s">
        <v>371</v>
      </c>
      <c r="R42" s="35" t="s">
        <v>372</v>
      </c>
      <c r="S42" s="35" t="s">
        <v>1084</v>
      </c>
      <c r="T42" s="35" t="s">
        <v>373</v>
      </c>
      <c r="U42" s="35" t="s">
        <v>22</v>
      </c>
      <c r="V42" s="45">
        <v>1383665</v>
      </c>
      <c r="W42" s="41"/>
      <c r="X42" s="42">
        <f t="shared" si="26"/>
        <v>1383665</v>
      </c>
      <c r="Y42" s="45">
        <v>774687.46</v>
      </c>
      <c r="Z42" s="49">
        <v>0</v>
      </c>
      <c r="AA42" s="42">
        <f t="shared" si="32"/>
        <v>774687.46</v>
      </c>
      <c r="AB42" s="43">
        <f>AA42/O42</f>
        <v>0.55988079484557318</v>
      </c>
      <c r="AC42" s="53"/>
      <c r="AD42" s="42">
        <f t="shared" si="35"/>
        <v>1383665</v>
      </c>
      <c r="AE42" s="42">
        <f t="shared" si="33"/>
        <v>0</v>
      </c>
      <c r="AF42" s="44">
        <f t="shared" si="36"/>
        <v>0</v>
      </c>
      <c r="AG42" s="49" t="s">
        <v>313</v>
      </c>
      <c r="AH42" s="35" t="s">
        <v>21</v>
      </c>
      <c r="AI42" s="35" t="s">
        <v>21</v>
      </c>
      <c r="AJ42" s="35" t="s">
        <v>15</v>
      </c>
      <c r="AK42" s="35" t="s">
        <v>25</v>
      </c>
      <c r="AL42" s="35" t="s">
        <v>119</v>
      </c>
      <c r="AN42" s="42">
        <f t="shared" si="34"/>
        <v>608977.54</v>
      </c>
    </row>
    <row r="43" spans="1:40" s="37" customFormat="1" ht="129.6" x14ac:dyDescent="0.3">
      <c r="A43" s="37">
        <v>403</v>
      </c>
      <c r="B43" s="37" t="s">
        <v>374</v>
      </c>
      <c r="C43" s="35" t="s">
        <v>375</v>
      </c>
      <c r="D43" s="35">
        <v>3158</v>
      </c>
      <c r="E43" s="38">
        <v>44854</v>
      </c>
      <c r="F43" s="38">
        <v>45838</v>
      </c>
      <c r="G43" s="39">
        <f t="shared" si="24"/>
        <v>984</v>
      </c>
      <c r="H43" s="40">
        <f t="shared" si="25"/>
        <v>0.90853658536585369</v>
      </c>
      <c r="I43" s="41">
        <v>46998</v>
      </c>
      <c r="J43" s="41">
        <v>0</v>
      </c>
      <c r="K43" s="41"/>
      <c r="L43" s="42">
        <f t="shared" si="7"/>
        <v>46998</v>
      </c>
      <c r="M43" s="41">
        <v>46998</v>
      </c>
      <c r="N43" s="42">
        <f t="shared" si="8"/>
        <v>0</v>
      </c>
      <c r="O43" s="45">
        <v>46998</v>
      </c>
      <c r="P43" s="45" t="s">
        <v>376</v>
      </c>
      <c r="Q43" s="35" t="s">
        <v>377</v>
      </c>
      <c r="R43" s="35" t="s">
        <v>378</v>
      </c>
      <c r="S43" s="35" t="s">
        <v>379</v>
      </c>
      <c r="T43" s="35" t="s">
        <v>189</v>
      </c>
      <c r="U43" s="35" t="s">
        <v>22</v>
      </c>
      <c r="V43" s="45">
        <v>46101.32</v>
      </c>
      <c r="W43" s="41"/>
      <c r="X43" s="42">
        <f t="shared" si="26"/>
        <v>46101.32</v>
      </c>
      <c r="Y43" s="45">
        <v>46101.320000000007</v>
      </c>
      <c r="Z43" s="49">
        <v>379.14</v>
      </c>
      <c r="AA43" s="42">
        <f t="shared" si="32"/>
        <v>46480.460000000006</v>
      </c>
      <c r="AB43" s="43">
        <f>AA43/O43</f>
        <v>0.98898804204434243</v>
      </c>
      <c r="AC43" s="53"/>
      <c r="AD43" s="42">
        <f t="shared" si="35"/>
        <v>46998</v>
      </c>
      <c r="AE43" s="42">
        <f t="shared" si="33"/>
        <v>0</v>
      </c>
      <c r="AF43" s="44">
        <f t="shared" si="36"/>
        <v>896.68000000000029</v>
      </c>
      <c r="AG43" s="49" t="s">
        <v>313</v>
      </c>
      <c r="AH43" s="35" t="s">
        <v>21</v>
      </c>
      <c r="AI43" s="35" t="s">
        <v>21</v>
      </c>
      <c r="AJ43" s="35" t="s">
        <v>15</v>
      </c>
      <c r="AK43" s="35" t="s">
        <v>25</v>
      </c>
      <c r="AL43" s="35" t="s">
        <v>133</v>
      </c>
      <c r="AN43" s="42">
        <f t="shared" si="34"/>
        <v>517.5399999999936</v>
      </c>
    </row>
    <row r="44" spans="1:40" s="37" customFormat="1" ht="72" x14ac:dyDescent="0.3">
      <c r="A44" s="37">
        <v>403</v>
      </c>
      <c r="B44" s="37" t="s">
        <v>380</v>
      </c>
      <c r="C44" s="35" t="s">
        <v>381</v>
      </c>
      <c r="D44" s="35">
        <v>3158</v>
      </c>
      <c r="E44" s="38">
        <v>44854</v>
      </c>
      <c r="F44" s="38">
        <v>45107</v>
      </c>
      <c r="G44" s="39">
        <f t="shared" si="24"/>
        <v>253</v>
      </c>
      <c r="H44" s="40">
        <f t="shared" si="25"/>
        <v>1</v>
      </c>
      <c r="I44" s="41">
        <v>731052</v>
      </c>
      <c r="J44" s="41">
        <f>-730427.54-624.46</f>
        <v>-731052</v>
      </c>
      <c r="K44" s="41"/>
      <c r="L44" s="42">
        <f t="shared" si="7"/>
        <v>0</v>
      </c>
      <c r="M44" s="41">
        <v>0</v>
      </c>
      <c r="N44" s="42">
        <f t="shared" si="8"/>
        <v>0</v>
      </c>
      <c r="O44" s="45">
        <v>731052</v>
      </c>
      <c r="P44" s="45" t="s">
        <v>382</v>
      </c>
      <c r="Q44" s="35" t="s">
        <v>383</v>
      </c>
      <c r="R44" s="35" t="s">
        <v>384</v>
      </c>
      <c r="S44" s="35" t="s">
        <v>21</v>
      </c>
      <c r="T44" s="35" t="s">
        <v>385</v>
      </c>
      <c r="U44" s="35" t="s">
        <v>26</v>
      </c>
      <c r="V44" s="45">
        <v>0</v>
      </c>
      <c r="W44" s="41"/>
      <c r="X44" s="42">
        <f t="shared" si="26"/>
        <v>0</v>
      </c>
      <c r="Y44" s="45">
        <v>0</v>
      </c>
      <c r="Z44" s="49">
        <v>0</v>
      </c>
      <c r="AA44" s="42">
        <f t="shared" si="32"/>
        <v>0</v>
      </c>
      <c r="AB44" s="43"/>
      <c r="AC44" s="53">
        <v>-731052</v>
      </c>
      <c r="AD44" s="42">
        <f t="shared" si="35"/>
        <v>0</v>
      </c>
      <c r="AE44" s="42">
        <f t="shared" si="33"/>
        <v>0</v>
      </c>
      <c r="AF44" s="44">
        <f t="shared" si="36"/>
        <v>0</v>
      </c>
      <c r="AG44" s="49" t="s">
        <v>313</v>
      </c>
      <c r="AH44" s="35" t="s">
        <v>21</v>
      </c>
      <c r="AI44" s="35" t="s">
        <v>21</v>
      </c>
      <c r="AJ44" s="35" t="s">
        <v>15</v>
      </c>
      <c r="AK44" s="35" t="s">
        <v>25</v>
      </c>
      <c r="AL44" s="35" t="s">
        <v>153</v>
      </c>
      <c r="AN44" s="42">
        <f t="shared" si="34"/>
        <v>0</v>
      </c>
    </row>
    <row r="45" spans="1:40" s="37" customFormat="1" ht="86.4" x14ac:dyDescent="0.3">
      <c r="A45" s="37">
        <v>403</v>
      </c>
      <c r="B45" s="37" t="s">
        <v>386</v>
      </c>
      <c r="C45" s="35" t="s">
        <v>387</v>
      </c>
      <c r="D45" s="35">
        <v>3158</v>
      </c>
      <c r="E45" s="38">
        <v>44854</v>
      </c>
      <c r="F45" s="38">
        <v>45657</v>
      </c>
      <c r="G45" s="39">
        <f t="shared" si="24"/>
        <v>803</v>
      </c>
      <c r="H45" s="40">
        <f t="shared" si="25"/>
        <v>1</v>
      </c>
      <c r="I45" s="41">
        <v>666000</v>
      </c>
      <c r="J45" s="41">
        <v>-666000</v>
      </c>
      <c r="K45" s="41"/>
      <c r="L45" s="42">
        <f t="shared" si="7"/>
        <v>0</v>
      </c>
      <c r="M45" s="41">
        <v>0</v>
      </c>
      <c r="N45" s="42">
        <f t="shared" si="8"/>
        <v>0</v>
      </c>
      <c r="O45" s="45">
        <v>666000</v>
      </c>
      <c r="P45" s="45" t="s">
        <v>388</v>
      </c>
      <c r="Q45" s="35" t="s">
        <v>389</v>
      </c>
      <c r="R45" s="35" t="s">
        <v>390</v>
      </c>
      <c r="S45" s="35" t="s">
        <v>391</v>
      </c>
      <c r="T45" s="35" t="s">
        <v>392</v>
      </c>
      <c r="U45" s="35" t="s">
        <v>26</v>
      </c>
      <c r="V45" s="45">
        <v>0</v>
      </c>
      <c r="W45" s="41"/>
      <c r="X45" s="42">
        <f t="shared" si="26"/>
        <v>0</v>
      </c>
      <c r="Y45" s="45">
        <v>0</v>
      </c>
      <c r="Z45" s="49">
        <v>0</v>
      </c>
      <c r="AA45" s="42">
        <f t="shared" si="32"/>
        <v>0</v>
      </c>
      <c r="AB45" s="43"/>
      <c r="AC45" s="53">
        <v>-666000</v>
      </c>
      <c r="AD45" s="42">
        <f t="shared" si="35"/>
        <v>0</v>
      </c>
      <c r="AE45" s="42">
        <f t="shared" si="33"/>
        <v>0</v>
      </c>
      <c r="AF45" s="44">
        <f t="shared" si="36"/>
        <v>0</v>
      </c>
      <c r="AG45" s="49" t="s">
        <v>313</v>
      </c>
      <c r="AH45" s="35" t="s">
        <v>21</v>
      </c>
      <c r="AI45" s="35" t="s">
        <v>21</v>
      </c>
      <c r="AJ45" s="35" t="s">
        <v>15</v>
      </c>
      <c r="AK45" s="35" t="s">
        <v>25</v>
      </c>
      <c r="AL45" s="35" t="s">
        <v>133</v>
      </c>
      <c r="AN45" s="42">
        <f t="shared" si="34"/>
        <v>0</v>
      </c>
    </row>
    <row r="46" spans="1:40" s="37" customFormat="1" ht="43.2" x14ac:dyDescent="0.3">
      <c r="A46" s="37">
        <v>403</v>
      </c>
      <c r="B46" s="37" t="s">
        <v>393</v>
      </c>
      <c r="C46" s="35" t="s">
        <v>394</v>
      </c>
      <c r="D46" s="35">
        <v>3158</v>
      </c>
      <c r="E46" s="38">
        <v>44910</v>
      </c>
      <c r="F46" s="38">
        <v>46203</v>
      </c>
      <c r="G46" s="39">
        <f t="shared" si="24"/>
        <v>1293</v>
      </c>
      <c r="H46" s="40">
        <f t="shared" si="25"/>
        <v>0.64810518174787313</v>
      </c>
      <c r="I46" s="41">
        <v>10000000</v>
      </c>
      <c r="J46" s="41">
        <v>0</v>
      </c>
      <c r="K46" s="41"/>
      <c r="L46" s="42">
        <f t="shared" si="7"/>
        <v>10000000</v>
      </c>
      <c r="M46" s="41">
        <v>10000000</v>
      </c>
      <c r="N46" s="42">
        <f t="shared" si="8"/>
        <v>0</v>
      </c>
      <c r="O46" s="45">
        <v>10000000</v>
      </c>
      <c r="P46" s="45" t="s">
        <v>395</v>
      </c>
      <c r="Q46" s="35" t="s">
        <v>396</v>
      </c>
      <c r="R46" s="35" t="s">
        <v>397</v>
      </c>
      <c r="S46" s="35" t="s">
        <v>21</v>
      </c>
      <c r="T46" s="35" t="s">
        <v>398</v>
      </c>
      <c r="U46" s="35" t="s">
        <v>22</v>
      </c>
      <c r="V46" s="45">
        <v>10000000</v>
      </c>
      <c r="W46" s="41"/>
      <c r="X46" s="42">
        <f t="shared" si="26"/>
        <v>10000000</v>
      </c>
      <c r="Y46" s="45">
        <v>8112447.9100000011</v>
      </c>
      <c r="Z46" s="49">
        <v>0</v>
      </c>
      <c r="AA46" s="42">
        <f t="shared" si="32"/>
        <v>8112447.9100000011</v>
      </c>
      <c r="AB46" s="43">
        <f>AA46/O46</f>
        <v>0.81124479100000013</v>
      </c>
      <c r="AC46" s="53"/>
      <c r="AD46" s="42">
        <f t="shared" si="35"/>
        <v>10000000</v>
      </c>
      <c r="AE46" s="42">
        <f t="shared" si="33"/>
        <v>0</v>
      </c>
      <c r="AF46" s="44">
        <f t="shared" si="36"/>
        <v>0</v>
      </c>
      <c r="AG46" s="49" t="s">
        <v>313</v>
      </c>
      <c r="AH46" s="35" t="s">
        <v>21</v>
      </c>
      <c r="AI46" s="35" t="s">
        <v>21</v>
      </c>
      <c r="AJ46" s="35" t="s">
        <v>15</v>
      </c>
      <c r="AK46" s="35" t="s">
        <v>160</v>
      </c>
      <c r="AL46" s="35" t="s">
        <v>119</v>
      </c>
      <c r="AN46" s="42">
        <f t="shared" si="34"/>
        <v>1887552.0899999989</v>
      </c>
    </row>
    <row r="47" spans="1:40" s="37" customFormat="1" ht="43.2" x14ac:dyDescent="0.3">
      <c r="A47" s="37">
        <v>403</v>
      </c>
      <c r="B47" s="37" t="s">
        <v>399</v>
      </c>
      <c r="C47" s="35" t="s">
        <v>400</v>
      </c>
      <c r="D47" s="35" t="s">
        <v>401</v>
      </c>
      <c r="E47" s="38">
        <v>44854</v>
      </c>
      <c r="F47" s="38">
        <v>45838</v>
      </c>
      <c r="G47" s="39">
        <f t="shared" si="24"/>
        <v>984</v>
      </c>
      <c r="H47" s="40">
        <f t="shared" si="25"/>
        <v>0.90853658536585369</v>
      </c>
      <c r="I47" s="41">
        <v>15150000</v>
      </c>
      <c r="J47" s="41">
        <v>-2823704.46</v>
      </c>
      <c r="K47" s="41"/>
      <c r="L47" s="42">
        <f t="shared" si="7"/>
        <v>12326295.539999999</v>
      </c>
      <c r="M47" s="41">
        <v>12326295.539999999</v>
      </c>
      <c r="N47" s="42">
        <f t="shared" si="8"/>
        <v>0</v>
      </c>
      <c r="O47" s="45">
        <v>15150000</v>
      </c>
      <c r="P47" s="45" t="s">
        <v>402</v>
      </c>
      <c r="Q47" s="35" t="s">
        <v>403</v>
      </c>
      <c r="R47" s="35" t="s">
        <v>21</v>
      </c>
      <c r="S47" s="35" t="s">
        <v>21</v>
      </c>
      <c r="T47" s="35" t="s">
        <v>1085</v>
      </c>
      <c r="U47" s="35" t="s">
        <v>22</v>
      </c>
      <c r="V47" s="45">
        <v>12326295.539999999</v>
      </c>
      <c r="W47" s="41"/>
      <c r="X47" s="42">
        <f t="shared" si="26"/>
        <v>12326295.539999999</v>
      </c>
      <c r="Y47" s="45">
        <v>12274688.979999997</v>
      </c>
      <c r="Z47" s="45">
        <v>0</v>
      </c>
      <c r="AA47" s="42">
        <f t="shared" si="27"/>
        <v>12274688.979999997</v>
      </c>
      <c r="AB47" s="43">
        <f>AA47/O47</f>
        <v>0.8102104937293727</v>
      </c>
      <c r="AC47" s="41">
        <v>-2823704.46</v>
      </c>
      <c r="AD47" s="42">
        <f t="shared" si="29"/>
        <v>12326295.539999999</v>
      </c>
      <c r="AE47" s="42">
        <f t="shared" si="10"/>
        <v>0</v>
      </c>
      <c r="AF47" s="44">
        <f t="shared" si="23"/>
        <v>0</v>
      </c>
      <c r="AG47" s="45" t="s">
        <v>313</v>
      </c>
      <c r="AH47" s="35" t="s">
        <v>404</v>
      </c>
      <c r="AI47" s="35" t="s">
        <v>21</v>
      </c>
      <c r="AJ47" s="35" t="s">
        <v>15</v>
      </c>
      <c r="AK47" s="35" t="s">
        <v>25</v>
      </c>
      <c r="AL47" s="35" t="s">
        <v>126</v>
      </c>
      <c r="AN47" s="42">
        <f t="shared" si="11"/>
        <v>51606.560000002384</v>
      </c>
    </row>
    <row r="48" spans="1:40" s="37" customFormat="1" ht="28.8" x14ac:dyDescent="0.3">
      <c r="A48" s="37">
        <v>403</v>
      </c>
      <c r="B48" s="37" t="s">
        <v>405</v>
      </c>
      <c r="C48" s="35" t="s">
        <v>406</v>
      </c>
      <c r="D48" s="35">
        <v>3158</v>
      </c>
      <c r="E48" s="38">
        <v>44911</v>
      </c>
      <c r="F48" s="38">
        <v>45657</v>
      </c>
      <c r="G48" s="39">
        <f t="shared" si="24"/>
        <v>746</v>
      </c>
      <c r="H48" s="40">
        <f t="shared" si="25"/>
        <v>1</v>
      </c>
      <c r="I48" s="41">
        <v>250000</v>
      </c>
      <c r="J48" s="41">
        <v>-100000</v>
      </c>
      <c r="K48" s="41"/>
      <c r="L48" s="42">
        <f t="shared" si="7"/>
        <v>150000</v>
      </c>
      <c r="M48" s="41">
        <v>150000</v>
      </c>
      <c r="N48" s="42">
        <f t="shared" si="8"/>
        <v>0</v>
      </c>
      <c r="O48" s="45">
        <v>250000</v>
      </c>
      <c r="P48" s="45" t="s">
        <v>407</v>
      </c>
      <c r="Q48" s="35" t="s">
        <v>408</v>
      </c>
      <c r="R48" s="35" t="s">
        <v>21</v>
      </c>
      <c r="S48" s="35" t="s">
        <v>21</v>
      </c>
      <c r="T48" s="35" t="s">
        <v>409</v>
      </c>
      <c r="U48" s="35" t="s">
        <v>26</v>
      </c>
      <c r="V48" s="45">
        <v>150000</v>
      </c>
      <c r="W48" s="41"/>
      <c r="X48" s="42">
        <f t="shared" si="26"/>
        <v>150000</v>
      </c>
      <c r="Y48" s="45">
        <v>150000</v>
      </c>
      <c r="Z48" s="45">
        <v>0</v>
      </c>
      <c r="AA48" s="42">
        <f t="shared" si="27"/>
        <v>150000</v>
      </c>
      <c r="AB48" s="43">
        <f t="shared" si="28"/>
        <v>0.6</v>
      </c>
      <c r="AC48" s="41">
        <v>-100000</v>
      </c>
      <c r="AD48" s="42">
        <f t="shared" si="29"/>
        <v>150000</v>
      </c>
      <c r="AE48" s="42">
        <f t="shared" si="10"/>
        <v>0</v>
      </c>
      <c r="AF48" s="44">
        <f t="shared" si="23"/>
        <v>0</v>
      </c>
      <c r="AG48" s="45" t="s">
        <v>313</v>
      </c>
      <c r="AH48" s="35" t="s">
        <v>21</v>
      </c>
      <c r="AI48" s="35">
        <v>250000</v>
      </c>
      <c r="AJ48" s="35" t="s">
        <v>15</v>
      </c>
      <c r="AK48" s="35" t="s">
        <v>25</v>
      </c>
      <c r="AL48" s="35" t="s">
        <v>133</v>
      </c>
      <c r="AN48" s="42">
        <f t="shared" si="11"/>
        <v>0</v>
      </c>
    </row>
    <row r="49" spans="1:40" s="37" customFormat="1" ht="43.2" x14ac:dyDescent="0.3">
      <c r="A49" s="37">
        <v>406</v>
      </c>
      <c r="B49" s="37" t="s">
        <v>410</v>
      </c>
      <c r="C49" s="35" t="s">
        <v>411</v>
      </c>
      <c r="D49" s="35">
        <v>3161</v>
      </c>
      <c r="E49" s="38">
        <v>44602</v>
      </c>
      <c r="F49" s="38">
        <v>44926</v>
      </c>
      <c r="G49" s="39">
        <f t="shared" ref="G49:G93" si="37">F49-E49</f>
        <v>324</v>
      </c>
      <c r="H49" s="40">
        <f t="shared" ref="H49:H93" si="38">IF(U49="Completed",1,($B$1-E49)/G49)</f>
        <v>1</v>
      </c>
      <c r="I49" s="59">
        <v>286977</v>
      </c>
      <c r="J49" s="59">
        <v>-79110.5</v>
      </c>
      <c r="K49" s="59">
        <v>0</v>
      </c>
      <c r="L49" s="42">
        <f t="shared" ref="L49:L93" si="39">I49+J49+K49</f>
        <v>207866.5</v>
      </c>
      <c r="M49" s="60">
        <v>286977</v>
      </c>
      <c r="N49" s="42">
        <f t="shared" ref="N49:N93" si="40">L49-M49</f>
        <v>-79110.5</v>
      </c>
      <c r="O49" s="45">
        <v>286977</v>
      </c>
      <c r="P49" s="61" t="s">
        <v>412</v>
      </c>
      <c r="Q49" s="35" t="s">
        <v>413</v>
      </c>
      <c r="R49" s="35" t="s">
        <v>21</v>
      </c>
      <c r="S49" s="35" t="s">
        <v>21</v>
      </c>
      <c r="T49" s="34" t="s">
        <v>213</v>
      </c>
      <c r="U49" s="35" t="s">
        <v>26</v>
      </c>
      <c r="V49" s="59">
        <v>207866.5</v>
      </c>
      <c r="W49" s="178"/>
      <c r="X49" s="42">
        <f t="shared" ref="X49:X93" si="41">V49+W49</f>
        <v>207866.5</v>
      </c>
      <c r="Y49" s="60">
        <v>207866</v>
      </c>
      <c r="Z49" s="169"/>
      <c r="AA49" s="42">
        <f t="shared" ref="AA49:AA93" si="42">Y49+Z49</f>
        <v>207866</v>
      </c>
      <c r="AB49" s="43">
        <f t="shared" ref="AB49:AB74" si="43">AA49/O49</f>
        <v>0.72432982434132354</v>
      </c>
      <c r="AC49" s="63">
        <v>-79110.5</v>
      </c>
      <c r="AD49" s="42">
        <f>O49+AC49</f>
        <v>207866.5</v>
      </c>
      <c r="AE49" s="42">
        <f t="shared" ref="AE49:AE79" si="44">M49-AD49</f>
        <v>79110.5</v>
      </c>
      <c r="AF49" s="44">
        <f t="shared" ref="AF49:AF93" si="45">AD49-X49</f>
        <v>0</v>
      </c>
      <c r="AG49" s="45" t="s">
        <v>26</v>
      </c>
      <c r="AH49" s="35" t="s">
        <v>21</v>
      </c>
      <c r="AI49" s="35" t="s">
        <v>21</v>
      </c>
      <c r="AJ49" s="35"/>
      <c r="AK49" s="35" t="s">
        <v>160</v>
      </c>
      <c r="AL49" s="35" t="s">
        <v>119</v>
      </c>
      <c r="AN49" s="42">
        <f t="shared" si="11"/>
        <v>0.5</v>
      </c>
    </row>
    <row r="50" spans="1:40" s="37" customFormat="1" ht="43.2" x14ac:dyDescent="0.3">
      <c r="A50" s="37">
        <v>406</v>
      </c>
      <c r="B50" s="37" t="s">
        <v>414</v>
      </c>
      <c r="C50" s="35" t="s">
        <v>415</v>
      </c>
      <c r="D50" s="35">
        <v>3161</v>
      </c>
      <c r="E50" s="38">
        <v>44659</v>
      </c>
      <c r="F50" s="38">
        <v>45199</v>
      </c>
      <c r="G50" s="39">
        <f t="shared" si="37"/>
        <v>540</v>
      </c>
      <c r="H50" s="40">
        <f t="shared" si="38"/>
        <v>1</v>
      </c>
      <c r="I50" s="59">
        <v>4972547</v>
      </c>
      <c r="J50" s="59">
        <v>-4748855.51</v>
      </c>
      <c r="K50" s="59">
        <v>0</v>
      </c>
      <c r="L50" s="42">
        <f t="shared" si="39"/>
        <v>223691.49000000022</v>
      </c>
      <c r="M50" s="60">
        <v>4972547</v>
      </c>
      <c r="N50" s="42">
        <f t="shared" si="40"/>
        <v>-4748855.51</v>
      </c>
      <c r="O50" s="45">
        <v>4972547</v>
      </c>
      <c r="P50" s="67" t="s">
        <v>416</v>
      </c>
      <c r="Q50" s="35" t="s">
        <v>417</v>
      </c>
      <c r="R50" s="35" t="s">
        <v>21</v>
      </c>
      <c r="S50" s="35" t="s">
        <v>21</v>
      </c>
      <c r="T50" s="35" t="s">
        <v>418</v>
      </c>
      <c r="U50" s="35" t="s">
        <v>26</v>
      </c>
      <c r="V50" s="64">
        <v>223691.49</v>
      </c>
      <c r="W50" s="179"/>
      <c r="X50" s="42">
        <f t="shared" si="41"/>
        <v>223691.49</v>
      </c>
      <c r="Y50" s="65">
        <v>223691.49</v>
      </c>
      <c r="Z50" s="170"/>
      <c r="AA50" s="42">
        <f t="shared" si="42"/>
        <v>223691.49</v>
      </c>
      <c r="AB50" s="43">
        <f t="shared" si="43"/>
        <v>4.4985294256645533E-2</v>
      </c>
      <c r="AC50" s="59">
        <v>-4748855.51</v>
      </c>
      <c r="AD50" s="42">
        <f>O50+AC50</f>
        <v>223691.49000000022</v>
      </c>
      <c r="AE50" s="42">
        <f t="shared" si="44"/>
        <v>4748855.51</v>
      </c>
      <c r="AF50" s="44">
        <f t="shared" si="45"/>
        <v>2.3283064365386963E-10</v>
      </c>
      <c r="AG50" s="45" t="s">
        <v>26</v>
      </c>
      <c r="AH50" s="35" t="s">
        <v>21</v>
      </c>
      <c r="AI50" s="35" t="s">
        <v>21</v>
      </c>
      <c r="AJ50" s="35" t="s">
        <v>8</v>
      </c>
      <c r="AK50" s="35" t="s">
        <v>160</v>
      </c>
      <c r="AL50" s="35" t="s">
        <v>119</v>
      </c>
      <c r="AN50" s="42">
        <f t="shared" si="11"/>
        <v>2.3283064365386963E-10</v>
      </c>
    </row>
    <row r="51" spans="1:40" s="37" customFormat="1" ht="43.2" x14ac:dyDescent="0.3">
      <c r="A51" s="37">
        <v>406</v>
      </c>
      <c r="B51" s="37" t="s">
        <v>419</v>
      </c>
      <c r="C51" s="35" t="s">
        <v>420</v>
      </c>
      <c r="D51" s="35">
        <v>3161</v>
      </c>
      <c r="E51" s="38">
        <v>44854</v>
      </c>
      <c r="F51" s="38">
        <v>45107</v>
      </c>
      <c r="G51" s="39">
        <f t="shared" si="37"/>
        <v>253</v>
      </c>
      <c r="H51" s="40">
        <f t="shared" si="38"/>
        <v>1</v>
      </c>
      <c r="I51" s="59">
        <v>475000</v>
      </c>
      <c r="J51" s="59">
        <v>-69.75</v>
      </c>
      <c r="K51" s="59">
        <v>0</v>
      </c>
      <c r="L51" s="42">
        <f t="shared" si="39"/>
        <v>474930.25</v>
      </c>
      <c r="M51" s="60">
        <v>475000</v>
      </c>
      <c r="N51" s="42">
        <f t="shared" si="40"/>
        <v>-69.75</v>
      </c>
      <c r="O51" s="45">
        <v>475000</v>
      </c>
      <c r="P51" s="61" t="s">
        <v>421</v>
      </c>
      <c r="Q51" s="35" t="s">
        <v>422</v>
      </c>
      <c r="R51" s="35" t="s">
        <v>423</v>
      </c>
      <c r="S51" s="35" t="s">
        <v>21</v>
      </c>
      <c r="T51" s="62" t="s">
        <v>189</v>
      </c>
      <c r="U51" s="35" t="s">
        <v>26</v>
      </c>
      <c r="V51" s="64">
        <v>474930.25</v>
      </c>
      <c r="W51" s="179"/>
      <c r="X51" s="42">
        <f t="shared" si="41"/>
        <v>474930.25</v>
      </c>
      <c r="Y51" s="65">
        <v>474930.25</v>
      </c>
      <c r="Z51" s="170"/>
      <c r="AA51" s="42">
        <f t="shared" si="42"/>
        <v>474930.25</v>
      </c>
      <c r="AB51" s="43">
        <f t="shared" si="43"/>
        <v>0.99985315789473683</v>
      </c>
      <c r="AC51" s="59">
        <v>-69.75</v>
      </c>
      <c r="AD51" s="42">
        <f>O51+AC51</f>
        <v>474930.25</v>
      </c>
      <c r="AE51" s="42">
        <f t="shared" si="44"/>
        <v>69.75</v>
      </c>
      <c r="AF51" s="44">
        <f t="shared" si="45"/>
        <v>0</v>
      </c>
      <c r="AG51" s="45" t="s">
        <v>26</v>
      </c>
      <c r="AH51" s="35" t="s">
        <v>21</v>
      </c>
      <c r="AI51" s="35" t="s">
        <v>21</v>
      </c>
      <c r="AJ51" s="35"/>
      <c r="AK51" s="35" t="s">
        <v>160</v>
      </c>
      <c r="AL51" s="35" t="s">
        <v>161</v>
      </c>
      <c r="AN51" s="42">
        <f t="shared" si="11"/>
        <v>0</v>
      </c>
    </row>
    <row r="52" spans="1:40" s="37" customFormat="1" ht="57.6" x14ac:dyDescent="0.3">
      <c r="A52" s="37">
        <v>406</v>
      </c>
      <c r="B52" s="37" t="s">
        <v>424</v>
      </c>
      <c r="C52" s="35" t="s">
        <v>425</v>
      </c>
      <c r="D52" s="35">
        <v>3161</v>
      </c>
      <c r="E52" s="38">
        <v>45273</v>
      </c>
      <c r="F52" s="38">
        <v>46022</v>
      </c>
      <c r="G52" s="39">
        <f t="shared" si="37"/>
        <v>749</v>
      </c>
      <c r="H52" s="40">
        <f t="shared" si="38"/>
        <v>0.63417890520694264</v>
      </c>
      <c r="I52" s="66">
        <v>22629572</v>
      </c>
      <c r="J52" s="66">
        <f>-6662592-15966980</f>
        <v>-22629572</v>
      </c>
      <c r="K52" s="66"/>
      <c r="L52" s="42">
        <f>I52+J52+K52</f>
        <v>0</v>
      </c>
      <c r="M52" s="41">
        <f>7951058+1338068</f>
        <v>9289126</v>
      </c>
      <c r="N52" s="42">
        <f t="shared" si="40"/>
        <v>-9289126</v>
      </c>
      <c r="O52" s="45">
        <f>7951058+1338068</f>
        <v>9289126</v>
      </c>
      <c r="P52" s="67" t="s">
        <v>426</v>
      </c>
      <c r="Q52" s="55" t="s">
        <v>427</v>
      </c>
      <c r="R52" s="35" t="s">
        <v>428</v>
      </c>
      <c r="S52" s="35" t="s">
        <v>21</v>
      </c>
      <c r="T52" s="36" t="s">
        <v>429</v>
      </c>
      <c r="U52" s="35" t="s">
        <v>17</v>
      </c>
      <c r="V52" s="69">
        <v>9289126</v>
      </c>
      <c r="W52" s="179"/>
      <c r="X52" s="42">
        <f t="shared" si="41"/>
        <v>9289126</v>
      </c>
      <c r="Y52" s="45">
        <v>3389988.7000000007</v>
      </c>
      <c r="Z52" s="171">
        <v>3108138.87</v>
      </c>
      <c r="AA52" s="42">
        <f t="shared" si="42"/>
        <v>6498127.5700000003</v>
      </c>
      <c r="AB52" s="43">
        <f t="shared" si="43"/>
        <v>0.69954133144496056</v>
      </c>
      <c r="AC52" s="58"/>
      <c r="AD52" s="42">
        <f>O52+AC52</f>
        <v>9289126</v>
      </c>
      <c r="AE52" s="42">
        <f t="shared" si="44"/>
        <v>0</v>
      </c>
      <c r="AF52" s="44">
        <f t="shared" si="45"/>
        <v>0</v>
      </c>
      <c r="AG52" s="45" t="s">
        <v>430</v>
      </c>
      <c r="AH52" s="35">
        <v>21</v>
      </c>
      <c r="AI52" s="35" t="s">
        <v>21</v>
      </c>
      <c r="AJ52" s="35" t="s">
        <v>8</v>
      </c>
      <c r="AK52" s="35" t="s">
        <v>160</v>
      </c>
      <c r="AL52" s="35" t="s">
        <v>119</v>
      </c>
      <c r="AN52" s="42">
        <f t="shared" si="11"/>
        <v>2790998.4299999997</v>
      </c>
    </row>
    <row r="53" spans="1:40" s="37" customFormat="1" ht="72" x14ac:dyDescent="0.3">
      <c r="A53" s="37">
        <v>406</v>
      </c>
      <c r="B53" s="37" t="s">
        <v>431</v>
      </c>
      <c r="C53" s="35" t="s">
        <v>432</v>
      </c>
      <c r="D53" s="35">
        <v>3161</v>
      </c>
      <c r="E53" s="38">
        <v>44854</v>
      </c>
      <c r="F53" s="38">
        <v>46387</v>
      </c>
      <c r="G53" s="39">
        <f t="shared" si="37"/>
        <v>1533</v>
      </c>
      <c r="H53" s="40">
        <f t="shared" si="38"/>
        <v>1</v>
      </c>
      <c r="I53" s="59">
        <v>55378801</v>
      </c>
      <c r="J53" s="59">
        <v>-54378801</v>
      </c>
      <c r="K53" s="59">
        <v>0</v>
      </c>
      <c r="L53" s="42">
        <f t="shared" si="39"/>
        <v>1000000</v>
      </c>
      <c r="M53" s="60">
        <v>55378801</v>
      </c>
      <c r="N53" s="42">
        <f t="shared" si="40"/>
        <v>-54378801</v>
      </c>
      <c r="O53" s="45">
        <f>55378801-53585685</f>
        <v>1793116</v>
      </c>
      <c r="P53" s="61" t="s">
        <v>433</v>
      </c>
      <c r="Q53" s="35" t="s">
        <v>434</v>
      </c>
      <c r="R53" s="35" t="s">
        <v>435</v>
      </c>
      <c r="S53" s="35" t="s">
        <v>21</v>
      </c>
      <c r="T53" s="35" t="s">
        <v>436</v>
      </c>
      <c r="U53" s="35" t="s">
        <v>26</v>
      </c>
      <c r="V53" s="64">
        <v>490330.41</v>
      </c>
      <c r="W53" s="179"/>
      <c r="X53" s="42">
        <f t="shared" si="41"/>
        <v>490330.41</v>
      </c>
      <c r="Y53" s="65">
        <v>490330.41</v>
      </c>
      <c r="Z53" s="170"/>
      <c r="AA53" s="42">
        <f t="shared" si="42"/>
        <v>490330.41</v>
      </c>
      <c r="AB53" s="43">
        <f t="shared" si="43"/>
        <v>0.27345158372352929</v>
      </c>
      <c r="AC53" s="59">
        <v>-54378801</v>
      </c>
      <c r="AD53" s="42">
        <v>490330.41</v>
      </c>
      <c r="AE53" s="42">
        <f t="shared" si="44"/>
        <v>54888470.590000004</v>
      </c>
      <c r="AF53" s="44">
        <f t="shared" si="45"/>
        <v>0</v>
      </c>
      <c r="AG53" s="45" t="s">
        <v>26</v>
      </c>
      <c r="AH53" s="35"/>
      <c r="AI53" s="35"/>
      <c r="AJ53" s="35" t="s">
        <v>8</v>
      </c>
      <c r="AK53" s="35" t="s">
        <v>160</v>
      </c>
      <c r="AL53" s="35" t="s">
        <v>161</v>
      </c>
      <c r="AN53" s="42">
        <f t="shared" si="11"/>
        <v>0</v>
      </c>
    </row>
    <row r="54" spans="1:40" s="37" customFormat="1" ht="47.25" customHeight="1" x14ac:dyDescent="0.3">
      <c r="A54" s="37">
        <v>406</v>
      </c>
      <c r="B54" s="37" t="s">
        <v>437</v>
      </c>
      <c r="C54" s="35" t="s">
        <v>438</v>
      </c>
      <c r="D54" s="35">
        <v>3161</v>
      </c>
      <c r="E54" s="38">
        <v>44854</v>
      </c>
      <c r="F54" s="38">
        <v>46295</v>
      </c>
      <c r="G54" s="39">
        <f t="shared" si="37"/>
        <v>1441</v>
      </c>
      <c r="H54" s="40">
        <f t="shared" si="38"/>
        <v>0.62040249826509364</v>
      </c>
      <c r="I54" s="59">
        <v>10000000</v>
      </c>
      <c r="J54" s="59">
        <v>0</v>
      </c>
      <c r="K54" s="59"/>
      <c r="L54" s="42">
        <f t="shared" si="39"/>
        <v>10000000</v>
      </c>
      <c r="M54" s="60">
        <v>10000000</v>
      </c>
      <c r="N54" s="42">
        <f t="shared" si="40"/>
        <v>0</v>
      </c>
      <c r="O54" s="45">
        <v>10000000</v>
      </c>
      <c r="P54" s="67" t="s">
        <v>439</v>
      </c>
      <c r="Q54" s="35" t="s">
        <v>440</v>
      </c>
      <c r="R54" s="35" t="s">
        <v>441</v>
      </c>
      <c r="S54" s="35" t="s">
        <v>442</v>
      </c>
      <c r="T54" s="68" t="s">
        <v>443</v>
      </c>
      <c r="U54" s="35" t="s">
        <v>17</v>
      </c>
      <c r="V54" s="64">
        <v>10000000</v>
      </c>
      <c r="W54" s="179"/>
      <c r="X54" s="42">
        <f t="shared" si="41"/>
        <v>10000000</v>
      </c>
      <c r="Y54" s="64">
        <v>0</v>
      </c>
      <c r="Z54" s="171">
        <v>493421.45</v>
      </c>
      <c r="AA54" s="42">
        <f t="shared" si="42"/>
        <v>493421.45</v>
      </c>
      <c r="AB54" s="43">
        <f t="shared" si="43"/>
        <v>4.9342145000000004E-2</v>
      </c>
      <c r="AC54" s="59">
        <v>0</v>
      </c>
      <c r="AD54" s="42">
        <f t="shared" ref="AD54:AD61" si="46">O54+AC54</f>
        <v>10000000</v>
      </c>
      <c r="AE54" s="42">
        <f t="shared" si="44"/>
        <v>0</v>
      </c>
      <c r="AF54" s="44">
        <f t="shared" si="45"/>
        <v>0</v>
      </c>
      <c r="AG54" s="45" t="s">
        <v>118</v>
      </c>
      <c r="AH54" s="35"/>
      <c r="AI54" s="35" t="s">
        <v>21</v>
      </c>
      <c r="AJ54" s="35" t="s">
        <v>8</v>
      </c>
      <c r="AK54" s="35" t="s">
        <v>160</v>
      </c>
      <c r="AL54" s="35" t="s">
        <v>119</v>
      </c>
      <c r="AN54" s="42">
        <f t="shared" si="11"/>
        <v>9506578.5500000007</v>
      </c>
    </row>
    <row r="55" spans="1:40" s="37" customFormat="1" ht="72" x14ac:dyDescent="0.3">
      <c r="A55" s="37">
        <v>406</v>
      </c>
      <c r="B55" s="37" t="s">
        <v>444</v>
      </c>
      <c r="C55" s="35" t="s">
        <v>445</v>
      </c>
      <c r="D55" s="35">
        <v>3161</v>
      </c>
      <c r="E55" s="38">
        <v>45315</v>
      </c>
      <c r="F55" s="38">
        <v>46387</v>
      </c>
      <c r="G55" s="39">
        <f t="shared" si="37"/>
        <v>1072</v>
      </c>
      <c r="H55" s="40">
        <f t="shared" si="38"/>
        <v>0.40391791044776121</v>
      </c>
      <c r="I55" s="59">
        <v>5716150</v>
      </c>
      <c r="J55" s="59">
        <v>-2070848</v>
      </c>
      <c r="K55" s="59">
        <v>0</v>
      </c>
      <c r="L55" s="42">
        <f t="shared" si="39"/>
        <v>3645302</v>
      </c>
      <c r="M55" s="60">
        <v>5716150</v>
      </c>
      <c r="N55" s="42">
        <f t="shared" si="40"/>
        <v>-2070848</v>
      </c>
      <c r="O55" s="45">
        <v>5716150</v>
      </c>
      <c r="P55" s="61" t="s">
        <v>446</v>
      </c>
      <c r="Q55" s="35" t="s">
        <v>447</v>
      </c>
      <c r="R55" s="35" t="s">
        <v>448</v>
      </c>
      <c r="S55" s="35" t="s">
        <v>21</v>
      </c>
      <c r="T55" s="68" t="s">
        <v>449</v>
      </c>
      <c r="U55" s="35" t="s">
        <v>17</v>
      </c>
      <c r="V55" s="64">
        <v>3645302</v>
      </c>
      <c r="W55" s="179"/>
      <c r="X55" s="42">
        <f t="shared" si="41"/>
        <v>3645302</v>
      </c>
      <c r="Y55" s="65">
        <v>523165.13999999996</v>
      </c>
      <c r="Z55" s="171">
        <v>45170.54</v>
      </c>
      <c r="AA55" s="42">
        <f>Y55+Z55</f>
        <v>568335.67999999993</v>
      </c>
      <c r="AB55" s="43">
        <f t="shared" si="43"/>
        <v>9.9426306167612805E-2</v>
      </c>
      <c r="AC55" s="59">
        <v>-2070848</v>
      </c>
      <c r="AD55" s="42">
        <f t="shared" si="46"/>
        <v>3645302</v>
      </c>
      <c r="AE55" s="42">
        <f t="shared" si="44"/>
        <v>2070848</v>
      </c>
      <c r="AF55" s="44">
        <f t="shared" si="45"/>
        <v>0</v>
      </c>
      <c r="AG55" s="45" t="s">
        <v>430</v>
      </c>
      <c r="AH55" s="35">
        <v>11</v>
      </c>
      <c r="AI55" s="35" t="s">
        <v>21</v>
      </c>
      <c r="AJ55" s="35" t="s">
        <v>15</v>
      </c>
      <c r="AK55" s="35" t="s">
        <v>25</v>
      </c>
      <c r="AL55" s="35" t="s">
        <v>161</v>
      </c>
      <c r="AN55" s="42">
        <f t="shared" si="11"/>
        <v>3076966.3200000003</v>
      </c>
    </row>
    <row r="56" spans="1:40" s="37" customFormat="1" ht="57.6" x14ac:dyDescent="0.3">
      <c r="A56" s="37">
        <v>406</v>
      </c>
      <c r="B56" s="37" t="s">
        <v>450</v>
      </c>
      <c r="C56" s="35" t="s">
        <v>451</v>
      </c>
      <c r="D56" s="35">
        <v>3161</v>
      </c>
      <c r="E56" s="38">
        <v>45273</v>
      </c>
      <c r="F56" s="38">
        <v>46022</v>
      </c>
      <c r="G56" s="39">
        <f t="shared" si="37"/>
        <v>749</v>
      </c>
      <c r="H56" s="40">
        <f t="shared" si="38"/>
        <v>0.63417890520694264</v>
      </c>
      <c r="I56" s="59">
        <v>14905281</v>
      </c>
      <c r="J56" s="59">
        <v>0</v>
      </c>
      <c r="K56" s="59">
        <v>0</v>
      </c>
      <c r="L56" s="42">
        <f t="shared" si="39"/>
        <v>14905281</v>
      </c>
      <c r="M56" s="60">
        <v>14905281</v>
      </c>
      <c r="N56" s="42">
        <f t="shared" si="40"/>
        <v>0</v>
      </c>
      <c r="O56" s="45">
        <v>14905281</v>
      </c>
      <c r="P56" s="61" t="s">
        <v>452</v>
      </c>
      <c r="Q56" s="35" t="s">
        <v>453</v>
      </c>
      <c r="R56" s="35" t="s">
        <v>454</v>
      </c>
      <c r="S56" s="35" t="s">
        <v>21</v>
      </c>
      <c r="T56" s="68" t="s">
        <v>455</v>
      </c>
      <c r="U56" s="35" t="s">
        <v>17</v>
      </c>
      <c r="V56" s="64">
        <v>14905281</v>
      </c>
      <c r="W56" s="179"/>
      <c r="X56" s="42">
        <f t="shared" si="41"/>
        <v>14905281</v>
      </c>
      <c r="Y56" s="65">
        <v>4429927.6999999993</v>
      </c>
      <c r="Z56" s="171">
        <v>844016.73</v>
      </c>
      <c r="AA56" s="42">
        <f>Y56+Z56</f>
        <v>5273944.43</v>
      </c>
      <c r="AB56" s="43">
        <f t="shared" si="43"/>
        <v>0.35383059400221972</v>
      </c>
      <c r="AC56" s="59">
        <v>0</v>
      </c>
      <c r="AD56" s="42">
        <f t="shared" si="46"/>
        <v>14905281</v>
      </c>
      <c r="AE56" s="42">
        <f t="shared" si="44"/>
        <v>0</v>
      </c>
      <c r="AF56" s="44">
        <f t="shared" si="45"/>
        <v>0</v>
      </c>
      <c r="AG56" s="45" t="s">
        <v>430</v>
      </c>
      <c r="AH56" s="35">
        <v>90</v>
      </c>
      <c r="AI56" s="35" t="s">
        <v>21</v>
      </c>
      <c r="AJ56" s="35" t="s">
        <v>15</v>
      </c>
      <c r="AK56" s="35" t="s">
        <v>25</v>
      </c>
      <c r="AL56" s="35" t="s">
        <v>161</v>
      </c>
      <c r="AN56" s="42">
        <f t="shared" si="11"/>
        <v>9631336.5700000003</v>
      </c>
    </row>
    <row r="57" spans="1:40" s="37" customFormat="1" ht="172.8" x14ac:dyDescent="0.3">
      <c r="A57" s="37">
        <v>406</v>
      </c>
      <c r="B57" s="37" t="s">
        <v>456</v>
      </c>
      <c r="C57" s="35" t="s">
        <v>457</v>
      </c>
      <c r="D57" s="35">
        <v>3165</v>
      </c>
      <c r="E57" s="38">
        <v>44743</v>
      </c>
      <c r="F57" s="38">
        <v>45473</v>
      </c>
      <c r="G57" s="39">
        <f t="shared" si="37"/>
        <v>730</v>
      </c>
      <c r="H57" s="40">
        <f t="shared" si="38"/>
        <v>1</v>
      </c>
      <c r="I57" s="59">
        <v>1956000</v>
      </c>
      <c r="J57" s="59">
        <v>-1956000</v>
      </c>
      <c r="K57" s="59">
        <v>0</v>
      </c>
      <c r="L57" s="42">
        <f t="shared" si="39"/>
        <v>0</v>
      </c>
      <c r="M57" s="60">
        <v>1956000</v>
      </c>
      <c r="N57" s="42">
        <f t="shared" si="40"/>
        <v>-1956000</v>
      </c>
      <c r="O57" s="45">
        <v>1956000</v>
      </c>
      <c r="P57" s="61" t="s">
        <v>458</v>
      </c>
      <c r="Q57" s="35" t="s">
        <v>1086</v>
      </c>
      <c r="R57" s="35" t="s">
        <v>459</v>
      </c>
      <c r="S57" s="35" t="s">
        <v>1087</v>
      </c>
      <c r="T57" s="70" t="s">
        <v>213</v>
      </c>
      <c r="U57" s="35" t="s">
        <v>26</v>
      </c>
      <c r="V57" s="64">
        <v>0</v>
      </c>
      <c r="W57" s="179"/>
      <c r="X57" s="42">
        <f t="shared" si="41"/>
        <v>0</v>
      </c>
      <c r="Y57" s="65">
        <v>0</v>
      </c>
      <c r="Z57" s="170"/>
      <c r="AA57" s="42">
        <f t="shared" si="42"/>
        <v>0</v>
      </c>
      <c r="AB57" s="43">
        <f t="shared" si="43"/>
        <v>0</v>
      </c>
      <c r="AC57" s="59">
        <v>-1956000</v>
      </c>
      <c r="AD57" s="42">
        <f t="shared" si="46"/>
        <v>0</v>
      </c>
      <c r="AE57" s="42">
        <f t="shared" si="44"/>
        <v>1956000</v>
      </c>
      <c r="AF57" s="44">
        <f t="shared" si="45"/>
        <v>0</v>
      </c>
      <c r="AG57" s="45" t="s">
        <v>118</v>
      </c>
      <c r="AH57" s="35" t="s">
        <v>460</v>
      </c>
      <c r="AI57" s="71" t="s">
        <v>461</v>
      </c>
      <c r="AJ57" s="35" t="s">
        <v>15</v>
      </c>
      <c r="AK57" s="35" t="s">
        <v>25</v>
      </c>
      <c r="AL57" s="35" t="s">
        <v>161</v>
      </c>
      <c r="AN57" s="42">
        <f t="shared" si="11"/>
        <v>0</v>
      </c>
    </row>
    <row r="58" spans="1:40" s="37" customFormat="1" ht="129.6" x14ac:dyDescent="0.3">
      <c r="A58" s="37">
        <v>406</v>
      </c>
      <c r="B58" s="37" t="s">
        <v>462</v>
      </c>
      <c r="C58" s="35" t="s">
        <v>463</v>
      </c>
      <c r="D58" s="35">
        <v>3165</v>
      </c>
      <c r="E58" s="38">
        <v>44743</v>
      </c>
      <c r="F58" s="38">
        <v>45838</v>
      </c>
      <c r="G58" s="39">
        <f t="shared" si="37"/>
        <v>1095</v>
      </c>
      <c r="H58" s="40">
        <f t="shared" si="38"/>
        <v>0.9178082191780822</v>
      </c>
      <c r="I58" s="59">
        <v>3500000</v>
      </c>
      <c r="J58" s="59">
        <v>0</v>
      </c>
      <c r="K58" s="59">
        <v>0</v>
      </c>
      <c r="L58" s="42">
        <f t="shared" si="39"/>
        <v>3500000</v>
      </c>
      <c r="M58" s="60">
        <v>3500000</v>
      </c>
      <c r="N58" s="42">
        <f t="shared" si="40"/>
        <v>0</v>
      </c>
      <c r="O58" s="45">
        <v>3500000</v>
      </c>
      <c r="P58" s="67" t="s">
        <v>464</v>
      </c>
      <c r="Q58" s="35" t="s">
        <v>465</v>
      </c>
      <c r="R58" s="35" t="s">
        <v>466</v>
      </c>
      <c r="S58" s="35" t="s">
        <v>467</v>
      </c>
      <c r="T58" s="35" t="s">
        <v>468</v>
      </c>
      <c r="U58" s="35" t="s">
        <v>17</v>
      </c>
      <c r="V58" s="64">
        <v>3500000</v>
      </c>
      <c r="W58" s="179"/>
      <c r="X58" s="42">
        <f t="shared" si="41"/>
        <v>3500000</v>
      </c>
      <c r="Y58" s="65">
        <v>102073.84</v>
      </c>
      <c r="Z58" s="180">
        <v>1257837.6599999999</v>
      </c>
      <c r="AA58" s="42">
        <f t="shared" si="42"/>
        <v>1359911.5</v>
      </c>
      <c r="AB58" s="43">
        <f t="shared" si="43"/>
        <v>0.38854614285714284</v>
      </c>
      <c r="AC58" s="59">
        <v>0</v>
      </c>
      <c r="AD58" s="42">
        <f t="shared" si="46"/>
        <v>3500000</v>
      </c>
      <c r="AE58" s="42">
        <f t="shared" si="44"/>
        <v>0</v>
      </c>
      <c r="AF58" s="44">
        <f t="shared" si="45"/>
        <v>0</v>
      </c>
      <c r="AG58" s="45" t="s">
        <v>118</v>
      </c>
      <c r="AH58" s="35" t="s">
        <v>469</v>
      </c>
      <c r="AI58" s="71" t="s">
        <v>470</v>
      </c>
      <c r="AJ58" s="35" t="s">
        <v>15</v>
      </c>
      <c r="AK58" s="35" t="s">
        <v>25</v>
      </c>
      <c r="AL58" s="35" t="s">
        <v>161</v>
      </c>
      <c r="AN58" s="42">
        <f t="shared" si="11"/>
        <v>2140088.5</v>
      </c>
    </row>
    <row r="59" spans="1:40" s="37" customFormat="1" ht="57.6" x14ac:dyDescent="0.3">
      <c r="A59" s="37">
        <v>406</v>
      </c>
      <c r="B59" s="37" t="s">
        <v>471</v>
      </c>
      <c r="C59" s="35" t="s">
        <v>472</v>
      </c>
      <c r="D59" s="35">
        <v>3165</v>
      </c>
      <c r="E59" s="38">
        <v>44743</v>
      </c>
      <c r="F59" s="38">
        <v>45838</v>
      </c>
      <c r="G59" s="39">
        <f t="shared" si="37"/>
        <v>1095</v>
      </c>
      <c r="H59" s="40">
        <f t="shared" si="38"/>
        <v>0.9178082191780822</v>
      </c>
      <c r="I59" s="59">
        <v>20000000</v>
      </c>
      <c r="J59" s="59">
        <v>0</v>
      </c>
      <c r="K59" s="59">
        <v>-5000000</v>
      </c>
      <c r="L59" s="42">
        <f t="shared" si="39"/>
        <v>15000000</v>
      </c>
      <c r="M59" s="60">
        <v>20000000</v>
      </c>
      <c r="N59" s="42">
        <f t="shared" si="40"/>
        <v>-5000000</v>
      </c>
      <c r="O59" s="45">
        <v>20000000</v>
      </c>
      <c r="P59" s="67" t="s">
        <v>473</v>
      </c>
      <c r="Q59" s="35" t="s">
        <v>1088</v>
      </c>
      <c r="R59" s="35" t="s">
        <v>474</v>
      </c>
      <c r="S59" s="35" t="s">
        <v>475</v>
      </c>
      <c r="T59" s="36" t="s">
        <v>476</v>
      </c>
      <c r="U59" s="35" t="s">
        <v>22</v>
      </c>
      <c r="V59" s="64">
        <v>15000000</v>
      </c>
      <c r="W59" s="179"/>
      <c r="X59" s="42">
        <f t="shared" si="41"/>
        <v>15000000</v>
      </c>
      <c r="Y59" s="65">
        <v>12387945.35</v>
      </c>
      <c r="Z59" s="171">
        <v>153788.01</v>
      </c>
      <c r="AA59" s="42">
        <f t="shared" si="42"/>
        <v>12541733.359999999</v>
      </c>
      <c r="AB59" s="43">
        <f t="shared" si="43"/>
        <v>0.62708666800000001</v>
      </c>
      <c r="AC59" s="59">
        <v>-5000000</v>
      </c>
      <c r="AD59" s="42">
        <f t="shared" si="46"/>
        <v>15000000</v>
      </c>
      <c r="AE59" s="42">
        <f t="shared" si="44"/>
        <v>5000000</v>
      </c>
      <c r="AF59" s="44">
        <f t="shared" si="45"/>
        <v>0</v>
      </c>
      <c r="AG59" s="45" t="s">
        <v>118</v>
      </c>
      <c r="AH59" s="35">
        <v>69</v>
      </c>
      <c r="AI59" s="41">
        <v>0</v>
      </c>
      <c r="AJ59" s="35" t="s">
        <v>8</v>
      </c>
      <c r="AK59" s="35" t="s">
        <v>25</v>
      </c>
      <c r="AL59" s="35" t="s">
        <v>161</v>
      </c>
      <c r="AN59" s="42">
        <f t="shared" si="11"/>
        <v>2458266.6400000006</v>
      </c>
    </row>
    <row r="60" spans="1:40" s="37" customFormat="1" ht="72" x14ac:dyDescent="0.3">
      <c r="A60" s="37">
        <v>406</v>
      </c>
      <c r="B60" s="37" t="s">
        <v>477</v>
      </c>
      <c r="C60" s="35" t="s">
        <v>478</v>
      </c>
      <c r="D60" s="35">
        <v>3165</v>
      </c>
      <c r="E60" s="38">
        <v>44743</v>
      </c>
      <c r="F60" s="38">
        <v>45838</v>
      </c>
      <c r="G60" s="39">
        <f t="shared" si="37"/>
        <v>1095</v>
      </c>
      <c r="H60" s="40">
        <f t="shared" si="38"/>
        <v>0.9178082191780822</v>
      </c>
      <c r="I60" s="59">
        <v>10000000</v>
      </c>
      <c r="J60" s="59">
        <v>-5000000</v>
      </c>
      <c r="K60" s="59">
        <v>-2896697</v>
      </c>
      <c r="L60" s="42">
        <f t="shared" si="39"/>
        <v>2103303</v>
      </c>
      <c r="M60" s="60">
        <v>5000000</v>
      </c>
      <c r="N60" s="42">
        <f t="shared" si="40"/>
        <v>-2896697</v>
      </c>
      <c r="O60" s="45">
        <v>10000000</v>
      </c>
      <c r="P60" s="67" t="s">
        <v>479</v>
      </c>
      <c r="Q60" s="35" t="s">
        <v>480</v>
      </c>
      <c r="R60" s="35" t="s">
        <v>481</v>
      </c>
      <c r="S60" s="35" t="s">
        <v>482</v>
      </c>
      <c r="T60" s="36" t="s">
        <v>483</v>
      </c>
      <c r="U60" s="35" t="s">
        <v>17</v>
      </c>
      <c r="V60" s="64">
        <v>2103303</v>
      </c>
      <c r="W60" s="179"/>
      <c r="X60" s="42">
        <f t="shared" si="41"/>
        <v>2103303</v>
      </c>
      <c r="Y60" s="65">
        <v>1724480.74</v>
      </c>
      <c r="Z60" s="171">
        <v>0</v>
      </c>
      <c r="AA60" s="42">
        <f t="shared" si="42"/>
        <v>1724480.74</v>
      </c>
      <c r="AB60" s="43">
        <f t="shared" si="43"/>
        <v>0.17244807400000001</v>
      </c>
      <c r="AC60" s="59">
        <v>-7896697</v>
      </c>
      <c r="AD60" s="42">
        <f t="shared" si="46"/>
        <v>2103303</v>
      </c>
      <c r="AE60" s="42">
        <f t="shared" si="44"/>
        <v>2896697</v>
      </c>
      <c r="AF60" s="44">
        <f t="shared" si="45"/>
        <v>0</v>
      </c>
      <c r="AG60" s="45" t="s">
        <v>118</v>
      </c>
      <c r="AH60" s="35" t="s">
        <v>21</v>
      </c>
      <c r="AI60" s="41">
        <v>0</v>
      </c>
      <c r="AJ60" s="35" t="s">
        <v>15</v>
      </c>
      <c r="AK60" s="35" t="s">
        <v>25</v>
      </c>
      <c r="AL60" s="35" t="s">
        <v>161</v>
      </c>
      <c r="AN60" s="42">
        <f t="shared" si="11"/>
        <v>378822.26</v>
      </c>
    </row>
    <row r="61" spans="1:40" s="37" customFormat="1" ht="144" x14ac:dyDescent="0.3">
      <c r="A61" s="37">
        <v>406</v>
      </c>
      <c r="B61" s="37" t="s">
        <v>484</v>
      </c>
      <c r="C61" s="35" t="s">
        <v>485</v>
      </c>
      <c r="D61" s="35">
        <v>3168</v>
      </c>
      <c r="E61" s="38">
        <v>44854</v>
      </c>
      <c r="F61" s="38">
        <v>45473</v>
      </c>
      <c r="G61" s="39">
        <f t="shared" si="37"/>
        <v>619</v>
      </c>
      <c r="H61" s="40">
        <f t="shared" si="38"/>
        <v>1</v>
      </c>
      <c r="I61" s="59">
        <v>862544</v>
      </c>
      <c r="J61" s="59">
        <v>-139229</v>
      </c>
      <c r="K61" s="59">
        <v>0</v>
      </c>
      <c r="L61" s="42">
        <f t="shared" si="39"/>
        <v>723315</v>
      </c>
      <c r="M61" s="60">
        <v>862544</v>
      </c>
      <c r="N61" s="42">
        <f t="shared" si="40"/>
        <v>-139229</v>
      </c>
      <c r="O61" s="45">
        <v>814690.75</v>
      </c>
      <c r="P61" s="67" t="s">
        <v>486</v>
      </c>
      <c r="Q61" s="55" t="s">
        <v>487</v>
      </c>
      <c r="R61" s="35" t="s">
        <v>21</v>
      </c>
      <c r="S61" s="35" t="s">
        <v>21</v>
      </c>
      <c r="T61" s="35" t="s">
        <v>213</v>
      </c>
      <c r="U61" s="73" t="s">
        <v>26</v>
      </c>
      <c r="V61" s="64">
        <v>675461.75</v>
      </c>
      <c r="W61" s="179"/>
      <c r="X61" s="42">
        <f t="shared" si="41"/>
        <v>675461.75</v>
      </c>
      <c r="Y61" s="65">
        <v>675461.75</v>
      </c>
      <c r="Z61" s="170"/>
      <c r="AA61" s="42">
        <f t="shared" si="42"/>
        <v>675461.75</v>
      </c>
      <c r="AB61" s="43">
        <f t="shared" si="43"/>
        <v>0.829102024295722</v>
      </c>
      <c r="AC61" s="59">
        <v>-139229</v>
      </c>
      <c r="AD61" s="42">
        <f t="shared" si="46"/>
        <v>675461.75</v>
      </c>
      <c r="AE61" s="42">
        <f t="shared" si="44"/>
        <v>187082.25</v>
      </c>
      <c r="AF61" s="44">
        <f t="shared" si="45"/>
        <v>0</v>
      </c>
      <c r="AG61" s="41" t="s">
        <v>488</v>
      </c>
      <c r="AH61" s="35"/>
      <c r="AI61" s="35"/>
      <c r="AJ61" s="35" t="s">
        <v>15</v>
      </c>
      <c r="AK61" s="35" t="s">
        <v>25</v>
      </c>
      <c r="AL61" s="35" t="s">
        <v>161</v>
      </c>
      <c r="AN61" s="42">
        <f t="shared" si="11"/>
        <v>0</v>
      </c>
    </row>
    <row r="62" spans="1:40" s="37" customFormat="1" ht="57.6" x14ac:dyDescent="0.3">
      <c r="A62" s="37">
        <v>406</v>
      </c>
      <c r="B62" s="74" t="s">
        <v>489</v>
      </c>
      <c r="C62" s="35" t="s">
        <v>490</v>
      </c>
      <c r="D62" s="35">
        <v>3170</v>
      </c>
      <c r="E62" s="38">
        <v>44601</v>
      </c>
      <c r="F62" s="38">
        <v>45107</v>
      </c>
      <c r="G62" s="39">
        <f t="shared" si="37"/>
        <v>506</v>
      </c>
      <c r="H62" s="40">
        <f t="shared" si="38"/>
        <v>1</v>
      </c>
      <c r="I62" s="59">
        <v>153764</v>
      </c>
      <c r="J62" s="59">
        <v>-153764</v>
      </c>
      <c r="K62" s="59">
        <v>0</v>
      </c>
      <c r="L62" s="42">
        <f t="shared" si="39"/>
        <v>0</v>
      </c>
      <c r="M62" s="60">
        <v>153764</v>
      </c>
      <c r="N62" s="42">
        <f t="shared" si="40"/>
        <v>-153764</v>
      </c>
      <c r="O62" s="45">
        <v>153764</v>
      </c>
      <c r="P62" s="61" t="s">
        <v>491</v>
      </c>
      <c r="Q62" s="35" t="s">
        <v>492</v>
      </c>
      <c r="R62" s="35" t="s">
        <v>493</v>
      </c>
      <c r="S62" s="35" t="s">
        <v>494</v>
      </c>
      <c r="T62" s="62" t="s">
        <v>324</v>
      </c>
      <c r="U62" s="35" t="s">
        <v>26</v>
      </c>
      <c r="V62" s="64">
        <v>0</v>
      </c>
      <c r="W62" s="179"/>
      <c r="X62" s="42">
        <f t="shared" si="41"/>
        <v>0</v>
      </c>
      <c r="Y62" s="75">
        <v>0</v>
      </c>
      <c r="Z62" s="170"/>
      <c r="AA62" s="42">
        <f t="shared" si="42"/>
        <v>0</v>
      </c>
      <c r="AB62" s="43">
        <f t="shared" si="43"/>
        <v>0</v>
      </c>
      <c r="AC62" s="59">
        <v>-153764</v>
      </c>
      <c r="AD62" s="42">
        <v>0</v>
      </c>
      <c r="AE62" s="42">
        <f t="shared" si="44"/>
        <v>153764</v>
      </c>
      <c r="AF62" s="44">
        <f t="shared" si="45"/>
        <v>0</v>
      </c>
      <c r="AG62" s="45" t="s">
        <v>26</v>
      </c>
      <c r="AH62" s="35" t="s">
        <v>21</v>
      </c>
      <c r="AI62" s="41">
        <v>153764</v>
      </c>
      <c r="AJ62" s="35" t="s">
        <v>15</v>
      </c>
      <c r="AK62" s="35" t="s">
        <v>20</v>
      </c>
      <c r="AL62" s="35" t="s">
        <v>161</v>
      </c>
      <c r="AN62" s="42">
        <f t="shared" si="11"/>
        <v>0</v>
      </c>
    </row>
    <row r="63" spans="1:40" s="37" customFormat="1" ht="57.6" x14ac:dyDescent="0.3">
      <c r="A63" s="37">
        <v>406</v>
      </c>
      <c r="B63" s="37" t="s">
        <v>495</v>
      </c>
      <c r="C63" s="35" t="s">
        <v>496</v>
      </c>
      <c r="D63" s="35">
        <v>3170</v>
      </c>
      <c r="E63" s="38">
        <v>44655</v>
      </c>
      <c r="F63" s="38">
        <v>45291</v>
      </c>
      <c r="G63" s="39">
        <f t="shared" si="37"/>
        <v>636</v>
      </c>
      <c r="H63" s="40">
        <f t="shared" si="38"/>
        <v>1</v>
      </c>
      <c r="I63" s="59">
        <v>169565</v>
      </c>
      <c r="J63" s="59">
        <v>0</v>
      </c>
      <c r="K63" s="59">
        <v>-100162.2</v>
      </c>
      <c r="L63" s="42">
        <f t="shared" si="39"/>
        <v>69402.8</v>
      </c>
      <c r="M63" s="60">
        <v>169565</v>
      </c>
      <c r="N63" s="42">
        <f t="shared" si="40"/>
        <v>-100162.2</v>
      </c>
      <c r="O63" s="45">
        <v>169565</v>
      </c>
      <c r="P63" s="67" t="s">
        <v>497</v>
      </c>
      <c r="Q63" s="35" t="s">
        <v>498</v>
      </c>
      <c r="R63" s="35" t="s">
        <v>499</v>
      </c>
      <c r="S63" s="35" t="s">
        <v>500</v>
      </c>
      <c r="T63" s="34" t="s">
        <v>213</v>
      </c>
      <c r="U63" s="35" t="s">
        <v>26</v>
      </c>
      <c r="V63" s="64">
        <v>69402.8</v>
      </c>
      <c r="W63" s="179"/>
      <c r="X63" s="42">
        <f t="shared" si="41"/>
        <v>69402.8</v>
      </c>
      <c r="Y63" s="65">
        <v>69402.8</v>
      </c>
      <c r="Z63" s="170"/>
      <c r="AA63" s="42">
        <f t="shared" si="42"/>
        <v>69402.8</v>
      </c>
      <c r="AB63" s="43">
        <f t="shared" si="43"/>
        <v>0.40929908884498573</v>
      </c>
      <c r="AC63" s="59">
        <v>-100162.2</v>
      </c>
      <c r="AD63" s="42">
        <f>O63+AC63</f>
        <v>69402.8</v>
      </c>
      <c r="AE63" s="42">
        <f t="shared" si="44"/>
        <v>100162.2</v>
      </c>
      <c r="AF63" s="44">
        <f t="shared" si="45"/>
        <v>0</v>
      </c>
      <c r="AG63" s="45" t="s">
        <v>26</v>
      </c>
      <c r="AH63" s="35" t="s">
        <v>21</v>
      </c>
      <c r="AI63" s="41">
        <v>169565</v>
      </c>
      <c r="AJ63" s="35" t="s">
        <v>15</v>
      </c>
      <c r="AK63" s="35" t="s">
        <v>20</v>
      </c>
      <c r="AL63" s="35" t="s">
        <v>161</v>
      </c>
      <c r="AN63" s="42">
        <f t="shared" si="11"/>
        <v>0</v>
      </c>
    </row>
    <row r="64" spans="1:40" s="76" customFormat="1" ht="43.2" x14ac:dyDescent="0.3">
      <c r="A64" s="37">
        <v>406</v>
      </c>
      <c r="B64" s="37" t="s">
        <v>501</v>
      </c>
      <c r="C64" s="35" t="s">
        <v>502</v>
      </c>
      <c r="D64" s="35">
        <v>3170</v>
      </c>
      <c r="E64" s="38">
        <v>44854</v>
      </c>
      <c r="F64" s="38">
        <v>45747</v>
      </c>
      <c r="G64" s="39">
        <f t="shared" si="37"/>
        <v>893</v>
      </c>
      <c r="H64" s="40">
        <f t="shared" si="38"/>
        <v>1</v>
      </c>
      <c r="I64" s="59">
        <v>1956011</v>
      </c>
      <c r="J64" s="59">
        <v>0</v>
      </c>
      <c r="K64" s="59">
        <v>0</v>
      </c>
      <c r="L64" s="42">
        <f t="shared" si="39"/>
        <v>1956011</v>
      </c>
      <c r="M64" s="60">
        <v>1956011</v>
      </c>
      <c r="N64" s="42">
        <f t="shared" si="40"/>
        <v>0</v>
      </c>
      <c r="O64" s="45">
        <v>1956011</v>
      </c>
      <c r="P64" s="67" t="s">
        <v>503</v>
      </c>
      <c r="Q64" s="35" t="s">
        <v>504</v>
      </c>
      <c r="R64" s="35" t="s">
        <v>505</v>
      </c>
      <c r="S64" s="35" t="s">
        <v>506</v>
      </c>
      <c r="T64" s="36" t="s">
        <v>507</v>
      </c>
      <c r="U64" s="35" t="s">
        <v>26</v>
      </c>
      <c r="V64" s="64">
        <v>1956011</v>
      </c>
      <c r="W64" s="179"/>
      <c r="X64" s="42">
        <f t="shared" si="41"/>
        <v>1956011</v>
      </c>
      <c r="Y64" s="65">
        <v>1635925.42</v>
      </c>
      <c r="Z64" s="170"/>
      <c r="AA64" s="42">
        <f t="shared" si="42"/>
        <v>1635925.42</v>
      </c>
      <c r="AB64" s="43">
        <f t="shared" si="43"/>
        <v>0.83635798571684916</v>
      </c>
      <c r="AC64" s="59"/>
      <c r="AD64" s="42">
        <f>O64+AC64</f>
        <v>1956011</v>
      </c>
      <c r="AE64" s="42">
        <f t="shared" si="44"/>
        <v>0</v>
      </c>
      <c r="AF64" s="44">
        <f t="shared" si="45"/>
        <v>0</v>
      </c>
      <c r="AG64" s="45" t="s">
        <v>118</v>
      </c>
      <c r="AH64" s="35"/>
      <c r="AI64" s="35"/>
      <c r="AJ64" s="35" t="s">
        <v>15</v>
      </c>
      <c r="AK64" s="35" t="s">
        <v>25</v>
      </c>
      <c r="AL64" s="35" t="s">
        <v>161</v>
      </c>
      <c r="AM64" s="37"/>
      <c r="AN64" s="42">
        <f t="shared" si="11"/>
        <v>320085.58000000007</v>
      </c>
    </row>
    <row r="65" spans="1:40" s="37" customFormat="1" ht="72" x14ac:dyDescent="0.3">
      <c r="A65" s="37">
        <v>406</v>
      </c>
      <c r="B65" s="37" t="s">
        <v>508</v>
      </c>
      <c r="C65" s="35" t="s">
        <v>509</v>
      </c>
      <c r="D65" s="35">
        <v>3170</v>
      </c>
      <c r="E65" s="38">
        <v>44854</v>
      </c>
      <c r="F65" s="38">
        <v>46203</v>
      </c>
      <c r="G65" s="39">
        <f t="shared" si="37"/>
        <v>1349</v>
      </c>
      <c r="H65" s="40">
        <f t="shared" si="38"/>
        <v>1</v>
      </c>
      <c r="I65" s="59">
        <v>1084810</v>
      </c>
      <c r="J65" s="59">
        <v>0</v>
      </c>
      <c r="K65" s="59">
        <v>-1084810</v>
      </c>
      <c r="L65" s="42">
        <f t="shared" si="39"/>
        <v>0</v>
      </c>
      <c r="M65" s="60">
        <v>1084810</v>
      </c>
      <c r="N65" s="42">
        <f t="shared" si="40"/>
        <v>-1084810</v>
      </c>
      <c r="O65" s="45">
        <v>1084810</v>
      </c>
      <c r="P65" s="61" t="s">
        <v>510</v>
      </c>
      <c r="Q65" s="35" t="s">
        <v>511</v>
      </c>
      <c r="R65" s="35" t="s">
        <v>512</v>
      </c>
      <c r="S65" s="35" t="s">
        <v>21</v>
      </c>
      <c r="T65" s="62" t="s">
        <v>324</v>
      </c>
      <c r="U65" s="35" t="s">
        <v>26</v>
      </c>
      <c r="V65" s="64">
        <v>0</v>
      </c>
      <c r="W65" s="179"/>
      <c r="X65" s="42">
        <f t="shared" si="41"/>
        <v>0</v>
      </c>
      <c r="Y65" s="75">
        <v>0</v>
      </c>
      <c r="Z65" s="170"/>
      <c r="AA65" s="42">
        <f t="shared" si="42"/>
        <v>0</v>
      </c>
      <c r="AB65" s="43">
        <f t="shared" si="43"/>
        <v>0</v>
      </c>
      <c r="AC65" s="59">
        <v>-1084810</v>
      </c>
      <c r="AD65" s="42">
        <f>O65+AC65</f>
        <v>0</v>
      </c>
      <c r="AE65" s="42">
        <f t="shared" si="44"/>
        <v>1084810</v>
      </c>
      <c r="AF65" s="44">
        <f t="shared" si="45"/>
        <v>0</v>
      </c>
      <c r="AG65" s="45" t="s">
        <v>26</v>
      </c>
      <c r="AH65" s="35"/>
      <c r="AI65" s="35"/>
      <c r="AJ65" s="35" t="s">
        <v>15</v>
      </c>
      <c r="AK65" s="35" t="s">
        <v>25</v>
      </c>
      <c r="AL65" s="35" t="s">
        <v>161</v>
      </c>
      <c r="AN65" s="42">
        <f t="shared" si="11"/>
        <v>0</v>
      </c>
    </row>
    <row r="66" spans="1:40" s="37" customFormat="1" ht="144" x14ac:dyDescent="0.3">
      <c r="A66" s="37">
        <v>406</v>
      </c>
      <c r="B66" s="37" t="s">
        <v>513</v>
      </c>
      <c r="C66" s="35" t="s">
        <v>514</v>
      </c>
      <c r="D66" s="35">
        <v>3213</v>
      </c>
      <c r="E66" s="38">
        <v>44601</v>
      </c>
      <c r="F66" s="38">
        <v>44742</v>
      </c>
      <c r="G66" s="39">
        <f t="shared" si="37"/>
        <v>141</v>
      </c>
      <c r="H66" s="40">
        <f t="shared" si="38"/>
        <v>1</v>
      </c>
      <c r="I66" s="59">
        <v>3884280</v>
      </c>
      <c r="J66" s="59">
        <v>0</v>
      </c>
      <c r="K66" s="59">
        <v>0</v>
      </c>
      <c r="L66" s="42">
        <f t="shared" si="39"/>
        <v>3884280</v>
      </c>
      <c r="M66" s="60">
        <v>3884280</v>
      </c>
      <c r="N66" s="42">
        <f t="shared" si="40"/>
        <v>0</v>
      </c>
      <c r="O66" s="45">
        <v>3884280</v>
      </c>
      <c r="P66" s="61" t="s">
        <v>515</v>
      </c>
      <c r="Q66" s="35" t="s">
        <v>1089</v>
      </c>
      <c r="R66" s="35" t="s">
        <v>516</v>
      </c>
      <c r="S66" s="35" t="s">
        <v>517</v>
      </c>
      <c r="T66" s="36" t="s">
        <v>189</v>
      </c>
      <c r="U66" s="35" t="s">
        <v>26</v>
      </c>
      <c r="V66" s="64">
        <v>3884280</v>
      </c>
      <c r="W66" s="179"/>
      <c r="X66" s="42">
        <f t="shared" si="41"/>
        <v>3884280</v>
      </c>
      <c r="Y66" s="65">
        <v>3884280</v>
      </c>
      <c r="Z66" s="170"/>
      <c r="AA66" s="42">
        <f t="shared" si="42"/>
        <v>3884280</v>
      </c>
      <c r="AB66" s="43">
        <f t="shared" si="43"/>
        <v>1</v>
      </c>
      <c r="AC66" s="59">
        <v>0</v>
      </c>
      <c r="AD66" s="42">
        <f>O66+AC66</f>
        <v>3884280</v>
      </c>
      <c r="AE66" s="42">
        <f t="shared" si="44"/>
        <v>0</v>
      </c>
      <c r="AF66" s="44">
        <f t="shared" si="45"/>
        <v>0</v>
      </c>
      <c r="AG66" s="45" t="s">
        <v>26</v>
      </c>
      <c r="AH66" s="35" t="s">
        <v>518</v>
      </c>
      <c r="AI66" s="41">
        <v>3884280</v>
      </c>
      <c r="AJ66" s="35" t="s">
        <v>15</v>
      </c>
      <c r="AK66" s="35" t="s">
        <v>25</v>
      </c>
      <c r="AL66" s="35" t="s">
        <v>133</v>
      </c>
      <c r="AN66" s="42">
        <f t="shared" si="11"/>
        <v>0</v>
      </c>
    </row>
    <row r="67" spans="1:40" s="37" customFormat="1" ht="86.4" x14ac:dyDescent="0.3">
      <c r="A67" s="37">
        <v>406</v>
      </c>
      <c r="B67" s="37" t="s">
        <v>519</v>
      </c>
      <c r="C67" s="35" t="s">
        <v>520</v>
      </c>
      <c r="D67" s="35">
        <v>3216</v>
      </c>
      <c r="E67" s="38">
        <v>44601</v>
      </c>
      <c r="F67" s="38">
        <v>45900</v>
      </c>
      <c r="G67" s="39">
        <f t="shared" si="37"/>
        <v>1299</v>
      </c>
      <c r="H67" s="40">
        <f t="shared" si="38"/>
        <v>0.88298691301000765</v>
      </c>
      <c r="I67" s="77">
        <v>20739792</v>
      </c>
      <c r="J67" s="59">
        <v>5285296</v>
      </c>
      <c r="K67" s="59">
        <v>-9390199</v>
      </c>
      <c r="L67" s="42">
        <f t="shared" si="39"/>
        <v>16634889</v>
      </c>
      <c r="M67" s="60">
        <v>16634889</v>
      </c>
      <c r="N67" s="42">
        <f t="shared" si="40"/>
        <v>0</v>
      </c>
      <c r="O67" s="45">
        <v>20739792</v>
      </c>
      <c r="P67" s="67" t="s">
        <v>521</v>
      </c>
      <c r="Q67" s="35" t="s">
        <v>522</v>
      </c>
      <c r="R67" s="35" t="s">
        <v>523</v>
      </c>
      <c r="S67" s="35" t="s">
        <v>524</v>
      </c>
      <c r="T67" s="36" t="s">
        <v>525</v>
      </c>
      <c r="U67" s="35" t="s">
        <v>22</v>
      </c>
      <c r="V67" s="64">
        <v>16634889</v>
      </c>
      <c r="W67" s="179"/>
      <c r="X67" s="42">
        <f t="shared" si="41"/>
        <v>16634889</v>
      </c>
      <c r="Y67" s="65">
        <v>14321502.389999999</v>
      </c>
      <c r="Z67" s="171">
        <v>483180.15</v>
      </c>
      <c r="AA67" s="42">
        <f t="shared" si="42"/>
        <v>14804682.539999999</v>
      </c>
      <c r="AB67" s="43">
        <f t="shared" si="43"/>
        <v>0.71382984650955028</v>
      </c>
      <c r="AC67" s="59">
        <f>-9390199+5285296</f>
        <v>-4104903</v>
      </c>
      <c r="AD67" s="42">
        <f>O67+AC67</f>
        <v>16634889</v>
      </c>
      <c r="AE67" s="42">
        <f t="shared" si="44"/>
        <v>0</v>
      </c>
      <c r="AF67" s="44">
        <f t="shared" si="45"/>
        <v>0</v>
      </c>
      <c r="AG67" s="45" t="s">
        <v>118</v>
      </c>
      <c r="AH67" s="35" t="s">
        <v>21</v>
      </c>
      <c r="AI67" s="41">
        <v>20739792</v>
      </c>
      <c r="AJ67" s="35" t="s">
        <v>15</v>
      </c>
      <c r="AK67" s="35" t="s">
        <v>25</v>
      </c>
      <c r="AL67" s="35" t="s">
        <v>133</v>
      </c>
      <c r="AN67" s="42">
        <f t="shared" si="11"/>
        <v>1830206.4600000009</v>
      </c>
    </row>
    <row r="68" spans="1:40" s="37" customFormat="1" ht="57.6" x14ac:dyDescent="0.3">
      <c r="A68" s="37">
        <v>406</v>
      </c>
      <c r="B68" s="37" t="s">
        <v>526</v>
      </c>
      <c r="C68" s="35" t="s">
        <v>527</v>
      </c>
      <c r="D68" s="35">
        <v>3218</v>
      </c>
      <c r="E68" s="38">
        <v>44562</v>
      </c>
      <c r="F68" s="38">
        <v>45107</v>
      </c>
      <c r="G68" s="39">
        <f t="shared" si="37"/>
        <v>545</v>
      </c>
      <c r="H68" s="40">
        <f t="shared" si="38"/>
        <v>1</v>
      </c>
      <c r="I68" s="59">
        <v>19613518</v>
      </c>
      <c r="J68" s="59">
        <v>-10</v>
      </c>
      <c r="K68" s="59">
        <v>0</v>
      </c>
      <c r="L68" s="42">
        <f t="shared" si="39"/>
        <v>19613508</v>
      </c>
      <c r="M68" s="60">
        <v>19613518</v>
      </c>
      <c r="N68" s="42">
        <f t="shared" si="40"/>
        <v>-10</v>
      </c>
      <c r="O68" s="45">
        <v>19613528</v>
      </c>
      <c r="P68" s="61" t="s">
        <v>528</v>
      </c>
      <c r="Q68" s="35" t="s">
        <v>529</v>
      </c>
      <c r="R68" s="35" t="s">
        <v>530</v>
      </c>
      <c r="S68" s="35" t="s">
        <v>531</v>
      </c>
      <c r="T68" s="35" t="s">
        <v>189</v>
      </c>
      <c r="U68" s="35" t="s">
        <v>26</v>
      </c>
      <c r="V68" s="64">
        <v>19613518</v>
      </c>
      <c r="W68" s="179"/>
      <c r="X68" s="42">
        <f t="shared" si="41"/>
        <v>19613518</v>
      </c>
      <c r="Y68" s="65">
        <v>19613518</v>
      </c>
      <c r="Z68" s="170"/>
      <c r="AA68" s="42">
        <f t="shared" si="42"/>
        <v>19613518</v>
      </c>
      <c r="AB68" s="43">
        <f t="shared" si="43"/>
        <v>0.99999949014782041</v>
      </c>
      <c r="AC68" s="59">
        <v>-10</v>
      </c>
      <c r="AD68" s="42">
        <f t="shared" ref="AD68:AD93" si="47">O68+AC68</f>
        <v>19613518</v>
      </c>
      <c r="AE68" s="42">
        <f t="shared" si="44"/>
        <v>0</v>
      </c>
      <c r="AF68" s="44">
        <f t="shared" si="45"/>
        <v>0</v>
      </c>
      <c r="AG68" s="45" t="s">
        <v>26</v>
      </c>
      <c r="AH68" s="35" t="s">
        <v>21</v>
      </c>
      <c r="AI68" s="41">
        <v>19613528</v>
      </c>
      <c r="AJ68" s="35" t="s">
        <v>15</v>
      </c>
      <c r="AK68" s="35" t="s">
        <v>25</v>
      </c>
      <c r="AL68" s="35" t="s">
        <v>133</v>
      </c>
      <c r="AN68" s="42">
        <f t="shared" si="11"/>
        <v>0</v>
      </c>
    </row>
    <row r="69" spans="1:40" s="37" customFormat="1" ht="57.6" x14ac:dyDescent="0.3">
      <c r="A69" s="37">
        <v>406</v>
      </c>
      <c r="B69" s="37" t="s">
        <v>532</v>
      </c>
      <c r="C69" s="35" t="s">
        <v>533</v>
      </c>
      <c r="D69" s="35">
        <v>3218</v>
      </c>
      <c r="E69" s="38">
        <v>44562</v>
      </c>
      <c r="F69" s="38">
        <v>45107</v>
      </c>
      <c r="G69" s="39">
        <f t="shared" si="37"/>
        <v>545</v>
      </c>
      <c r="H69" s="40">
        <f t="shared" si="38"/>
        <v>1</v>
      </c>
      <c r="I69" s="59">
        <v>5000000</v>
      </c>
      <c r="J69" s="59">
        <v>-164</v>
      </c>
      <c r="K69" s="59">
        <v>0</v>
      </c>
      <c r="L69" s="42">
        <f t="shared" si="39"/>
        <v>4999836</v>
      </c>
      <c r="M69" s="60">
        <v>5000000</v>
      </c>
      <c r="N69" s="42">
        <f t="shared" si="40"/>
        <v>-164</v>
      </c>
      <c r="O69" s="45">
        <v>5000000</v>
      </c>
      <c r="P69" s="61" t="s">
        <v>534</v>
      </c>
      <c r="Q69" s="35" t="s">
        <v>535</v>
      </c>
      <c r="R69" s="35" t="s">
        <v>536</v>
      </c>
      <c r="S69" s="35" t="s">
        <v>537</v>
      </c>
      <c r="T69" s="35" t="s">
        <v>189</v>
      </c>
      <c r="U69" s="35" t="s">
        <v>26</v>
      </c>
      <c r="V69" s="64">
        <v>4999836</v>
      </c>
      <c r="W69" s="179"/>
      <c r="X69" s="42">
        <f t="shared" si="41"/>
        <v>4999836</v>
      </c>
      <c r="Y69" s="65">
        <v>4999836</v>
      </c>
      <c r="Z69" s="170"/>
      <c r="AA69" s="42">
        <f t="shared" si="42"/>
        <v>4999836</v>
      </c>
      <c r="AB69" s="43">
        <f t="shared" si="43"/>
        <v>0.99996719999999994</v>
      </c>
      <c r="AC69" s="59">
        <v>-164</v>
      </c>
      <c r="AD69" s="42">
        <f t="shared" si="47"/>
        <v>4999836</v>
      </c>
      <c r="AE69" s="42">
        <f t="shared" si="44"/>
        <v>164</v>
      </c>
      <c r="AF69" s="44">
        <f t="shared" si="45"/>
        <v>0</v>
      </c>
      <c r="AG69" s="45" t="s">
        <v>26</v>
      </c>
      <c r="AH69" s="35" t="s">
        <v>538</v>
      </c>
      <c r="AI69" s="41">
        <v>5000000</v>
      </c>
      <c r="AJ69" s="35" t="s">
        <v>15</v>
      </c>
      <c r="AK69" s="35" t="s">
        <v>25</v>
      </c>
      <c r="AL69" s="35" t="s">
        <v>133</v>
      </c>
      <c r="AN69" s="42">
        <f t="shared" si="11"/>
        <v>0</v>
      </c>
    </row>
    <row r="70" spans="1:40" s="37" customFormat="1" ht="57.6" x14ac:dyDescent="0.3">
      <c r="A70" s="37">
        <v>406</v>
      </c>
      <c r="B70" s="37" t="s">
        <v>539</v>
      </c>
      <c r="C70" s="35" t="s">
        <v>540</v>
      </c>
      <c r="D70" s="35">
        <v>3218</v>
      </c>
      <c r="E70" s="38">
        <v>44562</v>
      </c>
      <c r="F70" s="38">
        <v>44926</v>
      </c>
      <c r="G70" s="39">
        <f t="shared" si="37"/>
        <v>364</v>
      </c>
      <c r="H70" s="40">
        <f t="shared" si="38"/>
        <v>1</v>
      </c>
      <c r="I70" s="59">
        <v>17559408</v>
      </c>
      <c r="J70" s="59">
        <v>-8299851.7300000004</v>
      </c>
      <c r="K70" s="59">
        <v>0</v>
      </c>
      <c r="L70" s="42">
        <f t="shared" si="39"/>
        <v>9259556.2699999996</v>
      </c>
      <c r="M70" s="60">
        <v>17559408</v>
      </c>
      <c r="N70" s="42">
        <f t="shared" si="40"/>
        <v>-8299851.7300000004</v>
      </c>
      <c r="O70" s="45">
        <v>17559408</v>
      </c>
      <c r="P70" s="67" t="s">
        <v>541</v>
      </c>
      <c r="Q70" s="35" t="s">
        <v>542</v>
      </c>
      <c r="R70" s="35" t="s">
        <v>543</v>
      </c>
      <c r="S70" s="35" t="s">
        <v>544</v>
      </c>
      <c r="T70" s="35" t="s">
        <v>189</v>
      </c>
      <c r="U70" s="35" t="s">
        <v>26</v>
      </c>
      <c r="V70" s="64">
        <v>9259556.2699999996</v>
      </c>
      <c r="W70" s="179"/>
      <c r="X70" s="42">
        <f t="shared" si="41"/>
        <v>9259556.2699999996</v>
      </c>
      <c r="Y70" s="65">
        <v>9259556.2699999996</v>
      </c>
      <c r="Z70" s="170"/>
      <c r="AA70" s="42">
        <f t="shared" si="42"/>
        <v>9259556.2699999996</v>
      </c>
      <c r="AB70" s="43">
        <f t="shared" si="43"/>
        <v>0.52732736035292305</v>
      </c>
      <c r="AC70" s="59">
        <v>-8299851.7300000004</v>
      </c>
      <c r="AD70" s="42">
        <f t="shared" si="47"/>
        <v>9259556.2699999996</v>
      </c>
      <c r="AE70" s="42">
        <f t="shared" si="44"/>
        <v>8299851.7300000004</v>
      </c>
      <c r="AF70" s="44">
        <f t="shared" si="45"/>
        <v>0</v>
      </c>
      <c r="AG70" s="45" t="s">
        <v>26</v>
      </c>
      <c r="AH70" s="35" t="s">
        <v>21</v>
      </c>
      <c r="AI70" s="41">
        <v>17559408</v>
      </c>
      <c r="AJ70" s="35" t="s">
        <v>15</v>
      </c>
      <c r="AK70" s="35" t="s">
        <v>25</v>
      </c>
      <c r="AL70" s="35" t="s">
        <v>133</v>
      </c>
      <c r="AN70" s="42">
        <f t="shared" ref="AN70:AN100" si="48">AD70-AA70</f>
        <v>0</v>
      </c>
    </row>
    <row r="71" spans="1:40" s="37" customFormat="1" ht="409.5" customHeight="1" x14ac:dyDescent="0.3">
      <c r="A71" s="37">
        <v>406</v>
      </c>
      <c r="B71" s="37" t="s">
        <v>545</v>
      </c>
      <c r="C71" s="35" t="s">
        <v>546</v>
      </c>
      <c r="D71" s="35">
        <v>3219</v>
      </c>
      <c r="E71" s="38">
        <v>44854</v>
      </c>
      <c r="F71" s="38">
        <v>45291</v>
      </c>
      <c r="G71" s="39">
        <f t="shared" si="37"/>
        <v>437</v>
      </c>
      <c r="H71" s="40">
        <f t="shared" si="38"/>
        <v>1</v>
      </c>
      <c r="I71" s="59">
        <v>345000</v>
      </c>
      <c r="J71" s="59">
        <v>-716.02</v>
      </c>
      <c r="K71" s="59">
        <v>0</v>
      </c>
      <c r="L71" s="42">
        <f t="shared" si="39"/>
        <v>344283.98</v>
      </c>
      <c r="M71" s="60">
        <v>345000</v>
      </c>
      <c r="N71" s="42">
        <f t="shared" si="40"/>
        <v>-716.02000000001863</v>
      </c>
      <c r="O71" s="45">
        <v>345000</v>
      </c>
      <c r="P71" s="67" t="s">
        <v>547</v>
      </c>
      <c r="Q71" s="35" t="s">
        <v>548</v>
      </c>
      <c r="R71" s="35" t="s">
        <v>549</v>
      </c>
      <c r="S71" s="35" t="s">
        <v>21</v>
      </c>
      <c r="T71" s="78" t="s">
        <v>550</v>
      </c>
      <c r="U71" s="35" t="s">
        <v>26</v>
      </c>
      <c r="V71" s="64">
        <v>344283.98</v>
      </c>
      <c r="W71" s="179"/>
      <c r="X71" s="42">
        <f t="shared" si="41"/>
        <v>344283.98</v>
      </c>
      <c r="Y71" s="65">
        <v>344283.98</v>
      </c>
      <c r="Z71" s="170"/>
      <c r="AA71" s="42">
        <f t="shared" si="42"/>
        <v>344283.98</v>
      </c>
      <c r="AB71" s="43">
        <f t="shared" si="43"/>
        <v>0.99792457971014492</v>
      </c>
      <c r="AC71" s="59">
        <v>-716.02</v>
      </c>
      <c r="AD71" s="42">
        <f t="shared" si="47"/>
        <v>344283.98</v>
      </c>
      <c r="AE71" s="42">
        <f t="shared" si="44"/>
        <v>716.02000000001863</v>
      </c>
      <c r="AF71" s="44">
        <f t="shared" si="45"/>
        <v>0</v>
      </c>
      <c r="AG71" s="45" t="s">
        <v>26</v>
      </c>
      <c r="AH71" s="35"/>
      <c r="AI71" s="35"/>
      <c r="AJ71" s="35" t="s">
        <v>15</v>
      </c>
      <c r="AK71" s="35" t="s">
        <v>25</v>
      </c>
      <c r="AL71" s="35" t="s">
        <v>133</v>
      </c>
      <c r="AN71" s="42">
        <f t="shared" si="48"/>
        <v>0</v>
      </c>
    </row>
    <row r="72" spans="1:40" s="37" customFormat="1" ht="103.5" customHeight="1" x14ac:dyDescent="0.3">
      <c r="A72" s="37">
        <v>406</v>
      </c>
      <c r="B72" s="37" t="s">
        <v>551</v>
      </c>
      <c r="C72" s="35" t="s">
        <v>552</v>
      </c>
      <c r="D72" s="35">
        <v>3219</v>
      </c>
      <c r="E72" s="38">
        <v>44854</v>
      </c>
      <c r="F72" s="38">
        <v>46326</v>
      </c>
      <c r="G72" s="39">
        <f t="shared" si="37"/>
        <v>1472</v>
      </c>
      <c r="H72" s="40">
        <f t="shared" si="38"/>
        <v>0.60733695652173914</v>
      </c>
      <c r="I72" s="79">
        <v>5000000</v>
      </c>
      <c r="J72" s="59">
        <v>0</v>
      </c>
      <c r="K72" s="59">
        <v>0</v>
      </c>
      <c r="L72" s="42">
        <f t="shared" si="39"/>
        <v>5000000</v>
      </c>
      <c r="M72" s="60">
        <v>5000000</v>
      </c>
      <c r="N72" s="42">
        <f t="shared" si="40"/>
        <v>0</v>
      </c>
      <c r="O72" s="45">
        <v>5000000</v>
      </c>
      <c r="P72" s="67" t="s">
        <v>553</v>
      </c>
      <c r="Q72" s="35" t="s">
        <v>554</v>
      </c>
      <c r="R72" s="35" t="s">
        <v>555</v>
      </c>
      <c r="S72" s="35" t="s">
        <v>556</v>
      </c>
      <c r="T72" s="32" t="s">
        <v>1090</v>
      </c>
      <c r="U72" s="35" t="s">
        <v>17</v>
      </c>
      <c r="V72" s="64">
        <v>5000000</v>
      </c>
      <c r="W72" s="179"/>
      <c r="X72" s="42">
        <f t="shared" si="41"/>
        <v>5000000</v>
      </c>
      <c r="Y72" s="65">
        <v>947428.26</v>
      </c>
      <c r="Z72" s="171">
        <v>118275.65</v>
      </c>
      <c r="AA72" s="42">
        <f t="shared" si="42"/>
        <v>1065703.9099999999</v>
      </c>
      <c r="AB72" s="43">
        <f t="shared" si="43"/>
        <v>0.21314078199999997</v>
      </c>
      <c r="AC72" s="59">
        <v>0</v>
      </c>
      <c r="AD72" s="42">
        <f t="shared" si="47"/>
        <v>5000000</v>
      </c>
      <c r="AE72" s="42">
        <f t="shared" si="44"/>
        <v>0</v>
      </c>
      <c r="AF72" s="44">
        <f t="shared" si="45"/>
        <v>0</v>
      </c>
      <c r="AG72" s="45" t="s">
        <v>118</v>
      </c>
      <c r="AH72" s="35"/>
      <c r="AI72" s="35"/>
      <c r="AJ72" s="35" t="s">
        <v>15</v>
      </c>
      <c r="AK72" s="35" t="s">
        <v>25</v>
      </c>
      <c r="AL72" s="35" t="s">
        <v>126</v>
      </c>
      <c r="AN72" s="42">
        <f t="shared" si="48"/>
        <v>3934296.09</v>
      </c>
    </row>
    <row r="73" spans="1:40" s="37" customFormat="1" ht="199.5" customHeight="1" x14ac:dyDescent="0.3">
      <c r="A73" s="37">
        <v>406</v>
      </c>
      <c r="B73" s="37" t="s">
        <v>557</v>
      </c>
      <c r="C73" s="35" t="s">
        <v>558</v>
      </c>
      <c r="D73" s="35">
        <v>3219</v>
      </c>
      <c r="E73" s="38">
        <v>44854</v>
      </c>
      <c r="F73" s="38">
        <v>46203</v>
      </c>
      <c r="G73" s="39">
        <f t="shared" si="37"/>
        <v>1349</v>
      </c>
      <c r="H73" s="40">
        <f t="shared" si="38"/>
        <v>0.66271312083024458</v>
      </c>
      <c r="I73" s="59">
        <v>1500000</v>
      </c>
      <c r="J73" s="59">
        <v>0</v>
      </c>
      <c r="K73" s="59">
        <v>0</v>
      </c>
      <c r="L73" s="42">
        <f t="shared" si="39"/>
        <v>1500000</v>
      </c>
      <c r="M73" s="60">
        <v>1500000</v>
      </c>
      <c r="N73" s="42">
        <f t="shared" si="40"/>
        <v>0</v>
      </c>
      <c r="O73" s="45">
        <v>1500000</v>
      </c>
      <c r="P73" s="67" t="s">
        <v>559</v>
      </c>
      <c r="Q73" s="35" t="s">
        <v>560</v>
      </c>
      <c r="R73" s="35" t="s">
        <v>21</v>
      </c>
      <c r="S73" s="35" t="s">
        <v>21</v>
      </c>
      <c r="T73" s="1" t="s">
        <v>1091</v>
      </c>
      <c r="U73" s="35" t="s">
        <v>17</v>
      </c>
      <c r="V73" s="64">
        <v>1500000</v>
      </c>
      <c r="W73" s="179"/>
      <c r="X73" s="42">
        <f t="shared" si="41"/>
        <v>1500000</v>
      </c>
      <c r="Y73" s="65">
        <v>358090.34</v>
      </c>
      <c r="Z73" s="171">
        <v>203756.13</v>
      </c>
      <c r="AA73" s="42">
        <f t="shared" si="42"/>
        <v>561846.47</v>
      </c>
      <c r="AB73" s="43">
        <f t="shared" si="43"/>
        <v>0.37456431333333329</v>
      </c>
      <c r="AC73" s="59">
        <v>0</v>
      </c>
      <c r="AD73" s="42">
        <f t="shared" si="47"/>
        <v>1500000</v>
      </c>
      <c r="AE73" s="42">
        <f t="shared" si="44"/>
        <v>0</v>
      </c>
      <c r="AF73" s="44">
        <f t="shared" si="45"/>
        <v>0</v>
      </c>
      <c r="AG73" s="80" t="s">
        <v>561</v>
      </c>
      <c r="AH73" s="35"/>
      <c r="AI73" s="35"/>
      <c r="AJ73" s="35" t="s">
        <v>15</v>
      </c>
      <c r="AK73" s="35" t="s">
        <v>25</v>
      </c>
      <c r="AL73" s="35" t="s">
        <v>133</v>
      </c>
      <c r="AN73" s="42">
        <f t="shared" si="48"/>
        <v>938153.53</v>
      </c>
    </row>
    <row r="74" spans="1:40" s="37" customFormat="1" ht="161.25" customHeight="1" x14ac:dyDescent="0.3">
      <c r="A74" s="37">
        <v>406</v>
      </c>
      <c r="B74" s="37" t="s">
        <v>562</v>
      </c>
      <c r="C74" s="35" t="s">
        <v>563</v>
      </c>
      <c r="D74" s="35">
        <v>3220</v>
      </c>
      <c r="E74" s="38">
        <v>44854</v>
      </c>
      <c r="F74" s="38">
        <v>45838</v>
      </c>
      <c r="G74" s="39">
        <f t="shared" si="37"/>
        <v>984</v>
      </c>
      <c r="H74" s="40">
        <f t="shared" si="38"/>
        <v>0.90853658536585369</v>
      </c>
      <c r="I74" s="59">
        <v>500000</v>
      </c>
      <c r="J74" s="59">
        <v>0</v>
      </c>
      <c r="K74" s="59">
        <v>0</v>
      </c>
      <c r="L74" s="42">
        <f t="shared" si="39"/>
        <v>500000</v>
      </c>
      <c r="M74" s="60">
        <v>500000</v>
      </c>
      <c r="N74" s="42">
        <f t="shared" si="40"/>
        <v>0</v>
      </c>
      <c r="O74" s="45">
        <v>500000</v>
      </c>
      <c r="P74" s="67" t="s">
        <v>564</v>
      </c>
      <c r="Q74" s="35" t="s">
        <v>565</v>
      </c>
      <c r="R74" s="35" t="s">
        <v>566</v>
      </c>
      <c r="S74" s="35" t="s">
        <v>567</v>
      </c>
      <c r="T74" s="68" t="s">
        <v>568</v>
      </c>
      <c r="U74" s="35" t="s">
        <v>22</v>
      </c>
      <c r="V74" s="64">
        <v>500000</v>
      </c>
      <c r="W74" s="179"/>
      <c r="X74" s="42">
        <f t="shared" si="41"/>
        <v>500000</v>
      </c>
      <c r="Y74" s="65">
        <v>335552.48</v>
      </c>
      <c r="Z74" s="171">
        <v>3765.19</v>
      </c>
      <c r="AA74" s="42">
        <f t="shared" si="42"/>
        <v>339317.67</v>
      </c>
      <c r="AB74" s="43">
        <f t="shared" si="43"/>
        <v>0.67863533999999992</v>
      </c>
      <c r="AC74" s="59">
        <v>0</v>
      </c>
      <c r="AD74" s="42">
        <f t="shared" si="47"/>
        <v>500000</v>
      </c>
      <c r="AE74" s="42">
        <f t="shared" si="44"/>
        <v>0</v>
      </c>
      <c r="AF74" s="44">
        <f t="shared" si="45"/>
        <v>0</v>
      </c>
      <c r="AG74" s="45" t="s">
        <v>118</v>
      </c>
      <c r="AH74" s="35" t="s">
        <v>569</v>
      </c>
      <c r="AI74" s="81">
        <v>500000</v>
      </c>
      <c r="AJ74" s="35" t="s">
        <v>15</v>
      </c>
      <c r="AK74" s="35" t="s">
        <v>25</v>
      </c>
      <c r="AL74" s="35" t="s">
        <v>133</v>
      </c>
      <c r="AN74" s="42">
        <f t="shared" si="48"/>
        <v>160682.33000000002</v>
      </c>
    </row>
    <row r="75" spans="1:40" s="37" customFormat="1" ht="100.8" x14ac:dyDescent="0.3">
      <c r="A75" s="37">
        <v>406</v>
      </c>
      <c r="B75" s="37" t="s">
        <v>570</v>
      </c>
      <c r="C75" s="35" t="s">
        <v>571</v>
      </c>
      <c r="D75" s="35">
        <v>3222</v>
      </c>
      <c r="E75" s="38">
        <v>44652</v>
      </c>
      <c r="F75" s="38">
        <v>45016</v>
      </c>
      <c r="G75" s="39">
        <f t="shared" si="37"/>
        <v>364</v>
      </c>
      <c r="H75" s="40">
        <f t="shared" si="38"/>
        <v>1</v>
      </c>
      <c r="I75" s="59">
        <v>201802</v>
      </c>
      <c r="J75" s="59">
        <v>0</v>
      </c>
      <c r="K75" s="59">
        <v>0</v>
      </c>
      <c r="L75" s="42">
        <f t="shared" si="39"/>
        <v>201802</v>
      </c>
      <c r="M75" s="60">
        <v>201802</v>
      </c>
      <c r="N75" s="42">
        <f t="shared" si="40"/>
        <v>0</v>
      </c>
      <c r="O75" s="45">
        <v>201802</v>
      </c>
      <c r="P75" s="61" t="s">
        <v>572</v>
      </c>
      <c r="Q75" s="35" t="s">
        <v>573</v>
      </c>
      <c r="R75" s="35" t="s">
        <v>574</v>
      </c>
      <c r="S75" s="35" t="s">
        <v>575</v>
      </c>
      <c r="T75" s="68" t="s">
        <v>195</v>
      </c>
      <c r="U75" s="35" t="s">
        <v>26</v>
      </c>
      <c r="V75" s="64">
        <v>201802</v>
      </c>
      <c r="W75" s="179"/>
      <c r="X75" s="42">
        <f t="shared" si="41"/>
        <v>201802</v>
      </c>
      <c r="Y75" s="65">
        <v>201802</v>
      </c>
      <c r="Z75" s="170"/>
      <c r="AA75" s="42">
        <f t="shared" si="42"/>
        <v>201802</v>
      </c>
      <c r="AB75" s="43">
        <f>AA75/O75</f>
        <v>1</v>
      </c>
      <c r="AC75" s="59">
        <v>0</v>
      </c>
      <c r="AD75" s="42">
        <f t="shared" si="47"/>
        <v>201802</v>
      </c>
      <c r="AE75" s="42">
        <f t="shared" si="44"/>
        <v>0</v>
      </c>
      <c r="AF75" s="44">
        <f t="shared" si="45"/>
        <v>0</v>
      </c>
      <c r="AG75" s="45" t="s">
        <v>26</v>
      </c>
      <c r="AH75" s="35" t="s">
        <v>576</v>
      </c>
      <c r="AI75" s="41">
        <v>201802</v>
      </c>
      <c r="AJ75" s="35" t="s">
        <v>15</v>
      </c>
      <c r="AK75" s="35" t="s">
        <v>160</v>
      </c>
      <c r="AL75" s="35" t="s">
        <v>133</v>
      </c>
      <c r="AN75" s="42">
        <f t="shared" si="48"/>
        <v>0</v>
      </c>
    </row>
    <row r="76" spans="1:40" s="37" customFormat="1" ht="72" x14ac:dyDescent="0.3">
      <c r="A76" s="37">
        <v>406</v>
      </c>
      <c r="B76" s="70" t="s">
        <v>577</v>
      </c>
      <c r="C76" s="35" t="s">
        <v>578</v>
      </c>
      <c r="D76" s="35">
        <v>3222</v>
      </c>
      <c r="E76" s="38">
        <v>44854</v>
      </c>
      <c r="F76" s="38">
        <v>46326</v>
      </c>
      <c r="G76" s="39">
        <f t="shared" si="37"/>
        <v>1472</v>
      </c>
      <c r="H76" s="40">
        <f t="shared" si="38"/>
        <v>0.60733695652173914</v>
      </c>
      <c r="I76" s="82">
        <v>3953689</v>
      </c>
      <c r="J76" s="59">
        <v>0</v>
      </c>
      <c r="K76" s="59">
        <v>0</v>
      </c>
      <c r="L76" s="42">
        <f t="shared" si="39"/>
        <v>3953689</v>
      </c>
      <c r="M76" s="83">
        <v>3953689</v>
      </c>
      <c r="N76" s="42">
        <f t="shared" si="40"/>
        <v>0</v>
      </c>
      <c r="O76" s="45">
        <v>3953689</v>
      </c>
      <c r="P76" s="67" t="s">
        <v>579</v>
      </c>
      <c r="Q76" s="35" t="s">
        <v>580</v>
      </c>
      <c r="R76" s="35" t="s">
        <v>581</v>
      </c>
      <c r="S76" s="35" t="s">
        <v>21</v>
      </c>
      <c r="T76" s="68" t="s">
        <v>582</v>
      </c>
      <c r="U76" s="35" t="s">
        <v>17</v>
      </c>
      <c r="V76" s="64">
        <v>3953689</v>
      </c>
      <c r="W76" s="179"/>
      <c r="X76" s="42">
        <f t="shared" si="41"/>
        <v>3953689</v>
      </c>
      <c r="Y76" s="65">
        <v>1536970.11</v>
      </c>
      <c r="Z76" s="171">
        <v>0</v>
      </c>
      <c r="AA76" s="42">
        <f t="shared" si="42"/>
        <v>1536970.11</v>
      </c>
      <c r="AB76" s="43">
        <v>0.13600000000000001</v>
      </c>
      <c r="AC76" s="59">
        <v>0</v>
      </c>
      <c r="AD76" s="42">
        <f t="shared" si="47"/>
        <v>3953689</v>
      </c>
      <c r="AE76" s="42">
        <f t="shared" si="44"/>
        <v>0</v>
      </c>
      <c r="AF76" s="44">
        <f t="shared" si="45"/>
        <v>0</v>
      </c>
      <c r="AG76" s="45" t="s">
        <v>583</v>
      </c>
      <c r="AH76" s="35" t="s">
        <v>584</v>
      </c>
      <c r="AI76" s="35" t="s">
        <v>585</v>
      </c>
      <c r="AJ76" s="35" t="s">
        <v>15</v>
      </c>
      <c r="AK76" s="35" t="s">
        <v>25</v>
      </c>
      <c r="AL76" s="35" t="s">
        <v>133</v>
      </c>
      <c r="AN76" s="42">
        <f t="shared" si="48"/>
        <v>2416718.8899999997</v>
      </c>
    </row>
    <row r="77" spans="1:40" s="37" customFormat="1" ht="57.6" x14ac:dyDescent="0.3">
      <c r="A77" s="37">
        <v>406</v>
      </c>
      <c r="B77" s="37" t="s">
        <v>586</v>
      </c>
      <c r="C77" s="35" t="s">
        <v>587</v>
      </c>
      <c r="D77" s="35">
        <v>3223</v>
      </c>
      <c r="E77" s="38">
        <v>44686</v>
      </c>
      <c r="F77" s="38">
        <v>46203</v>
      </c>
      <c r="G77" s="39">
        <f t="shared" si="37"/>
        <v>1517</v>
      </c>
      <c r="H77" s="40">
        <f t="shared" si="38"/>
        <v>0.7000659195781147</v>
      </c>
      <c r="I77" s="59">
        <v>477606</v>
      </c>
      <c r="J77" s="59">
        <v>0</v>
      </c>
      <c r="K77" s="59">
        <v>0</v>
      </c>
      <c r="L77" s="42">
        <f t="shared" si="39"/>
        <v>477606</v>
      </c>
      <c r="M77" s="60">
        <v>477606</v>
      </c>
      <c r="N77" s="42">
        <f t="shared" si="40"/>
        <v>0</v>
      </c>
      <c r="O77" s="45">
        <v>477606</v>
      </c>
      <c r="P77" s="67" t="s">
        <v>588</v>
      </c>
      <c r="Q77" s="35" t="s">
        <v>589</v>
      </c>
      <c r="R77" s="35" t="s">
        <v>590</v>
      </c>
      <c r="S77" s="35" t="s">
        <v>591</v>
      </c>
      <c r="T77" s="35" t="s">
        <v>1092</v>
      </c>
      <c r="U77" s="35" t="s">
        <v>22</v>
      </c>
      <c r="V77" s="64">
        <v>477606</v>
      </c>
      <c r="W77" s="179"/>
      <c r="X77" s="42">
        <f t="shared" si="41"/>
        <v>477606</v>
      </c>
      <c r="Y77" s="65">
        <v>395865</v>
      </c>
      <c r="Z77" s="171">
        <v>0</v>
      </c>
      <c r="AA77" s="42">
        <f t="shared" si="42"/>
        <v>395865</v>
      </c>
      <c r="AB77" s="43">
        <f t="shared" ref="AB77:AB84" si="49">AA77/O77</f>
        <v>0.82885265260486674</v>
      </c>
      <c r="AC77" s="59">
        <v>0</v>
      </c>
      <c r="AD77" s="42">
        <f t="shared" si="47"/>
        <v>477606</v>
      </c>
      <c r="AE77" s="42">
        <f t="shared" si="44"/>
        <v>0</v>
      </c>
      <c r="AF77" s="44">
        <f t="shared" si="45"/>
        <v>0</v>
      </c>
      <c r="AG77" s="41" t="s">
        <v>592</v>
      </c>
      <c r="AH77" s="35" t="s">
        <v>21</v>
      </c>
      <c r="AI77" s="35" t="s">
        <v>21</v>
      </c>
      <c r="AJ77" s="35" t="s">
        <v>15</v>
      </c>
      <c r="AK77" s="35" t="s">
        <v>25</v>
      </c>
      <c r="AL77" s="35" t="s">
        <v>119</v>
      </c>
      <c r="AN77" s="42">
        <f t="shared" si="48"/>
        <v>81741</v>
      </c>
    </row>
    <row r="78" spans="1:40" s="37" customFormat="1" ht="72" x14ac:dyDescent="0.3">
      <c r="A78" s="37">
        <v>406</v>
      </c>
      <c r="B78" s="37" t="s">
        <v>593</v>
      </c>
      <c r="C78" s="35" t="s">
        <v>594</v>
      </c>
      <c r="D78" s="35">
        <v>3223</v>
      </c>
      <c r="E78" s="38">
        <v>45108</v>
      </c>
      <c r="F78" s="38">
        <v>46203</v>
      </c>
      <c r="G78" s="39">
        <f t="shared" si="37"/>
        <v>1095</v>
      </c>
      <c r="H78" s="40">
        <f t="shared" si="38"/>
        <v>0.58447488584474883</v>
      </c>
      <c r="I78" s="66">
        <v>0</v>
      </c>
      <c r="J78" s="66">
        <v>0</v>
      </c>
      <c r="K78" s="66">
        <v>0</v>
      </c>
      <c r="L78" s="42">
        <f t="shared" si="39"/>
        <v>0</v>
      </c>
      <c r="M78" s="41">
        <v>0</v>
      </c>
      <c r="N78" s="42">
        <f t="shared" si="40"/>
        <v>0</v>
      </c>
      <c r="O78" s="45">
        <v>284159</v>
      </c>
      <c r="P78" s="67" t="s">
        <v>595</v>
      </c>
      <c r="Q78" s="35" t="s">
        <v>596</v>
      </c>
      <c r="R78" s="35" t="s">
        <v>597</v>
      </c>
      <c r="S78" s="35" t="s">
        <v>598</v>
      </c>
      <c r="T78" s="35" t="s">
        <v>599</v>
      </c>
      <c r="U78" s="35" t="s">
        <v>22</v>
      </c>
      <c r="V78" s="84">
        <v>284159</v>
      </c>
      <c r="W78" s="179"/>
      <c r="X78" s="42">
        <f t="shared" si="41"/>
        <v>284159</v>
      </c>
      <c r="Y78" s="45">
        <v>126492.19</v>
      </c>
      <c r="Z78" s="171">
        <v>24377.19</v>
      </c>
      <c r="AA78" s="42">
        <f t="shared" si="42"/>
        <v>150869.38</v>
      </c>
      <c r="AB78" s="43">
        <f t="shared" si="49"/>
        <v>0.53093296358728737</v>
      </c>
      <c r="AC78" s="58">
        <v>0</v>
      </c>
      <c r="AD78" s="42">
        <f t="shared" si="47"/>
        <v>284159</v>
      </c>
      <c r="AE78" s="42">
        <f t="shared" si="44"/>
        <v>-284159</v>
      </c>
      <c r="AF78" s="44">
        <f t="shared" si="45"/>
        <v>0</v>
      </c>
      <c r="AG78" s="41" t="s">
        <v>600</v>
      </c>
      <c r="AH78" s="35" t="s">
        <v>21</v>
      </c>
      <c r="AI78" s="35" t="s">
        <v>21</v>
      </c>
      <c r="AJ78" s="35" t="s">
        <v>15</v>
      </c>
      <c r="AK78" s="35" t="s">
        <v>25</v>
      </c>
      <c r="AL78" s="35" t="s">
        <v>126</v>
      </c>
      <c r="AN78" s="42">
        <f t="shared" si="48"/>
        <v>133289.62</v>
      </c>
    </row>
    <row r="79" spans="1:40" s="37" customFormat="1" ht="72" x14ac:dyDescent="0.3">
      <c r="A79" s="37">
        <v>406</v>
      </c>
      <c r="B79" s="37" t="s">
        <v>601</v>
      </c>
      <c r="C79" s="35" t="s">
        <v>602</v>
      </c>
      <c r="D79" s="35">
        <v>3223</v>
      </c>
      <c r="E79" s="38">
        <v>45839</v>
      </c>
      <c r="F79" s="38">
        <v>46203</v>
      </c>
      <c r="G79" s="39">
        <f t="shared" si="37"/>
        <v>364</v>
      </c>
      <c r="H79" s="40">
        <f t="shared" si="38"/>
        <v>-0.25</v>
      </c>
      <c r="I79" s="66">
        <v>0</v>
      </c>
      <c r="J79" s="66">
        <v>0</v>
      </c>
      <c r="K79" s="66">
        <v>0</v>
      </c>
      <c r="L79" s="42">
        <f t="shared" si="39"/>
        <v>0</v>
      </c>
      <c r="M79" s="41">
        <v>0</v>
      </c>
      <c r="N79" s="42">
        <f t="shared" si="40"/>
        <v>0</v>
      </c>
      <c r="O79" s="45">
        <v>252976</v>
      </c>
      <c r="P79" s="67" t="s">
        <v>595</v>
      </c>
      <c r="Q79" s="35" t="s">
        <v>596</v>
      </c>
      <c r="R79" s="35" t="s">
        <v>603</v>
      </c>
      <c r="S79" s="35" t="s">
        <v>598</v>
      </c>
      <c r="T79" s="35" t="s">
        <v>599</v>
      </c>
      <c r="U79" s="35" t="s">
        <v>11</v>
      </c>
      <c r="V79" s="84">
        <v>252976</v>
      </c>
      <c r="W79" s="179"/>
      <c r="X79" s="42">
        <f t="shared" si="41"/>
        <v>252976</v>
      </c>
      <c r="Y79" s="45">
        <v>0</v>
      </c>
      <c r="Z79" s="170">
        <v>0</v>
      </c>
      <c r="AA79" s="42">
        <f t="shared" si="42"/>
        <v>0</v>
      </c>
      <c r="AB79" s="43">
        <f t="shared" si="49"/>
        <v>0</v>
      </c>
      <c r="AC79" s="58">
        <v>0</v>
      </c>
      <c r="AD79" s="42">
        <f t="shared" si="47"/>
        <v>252976</v>
      </c>
      <c r="AE79" s="42">
        <f t="shared" si="44"/>
        <v>-252976</v>
      </c>
      <c r="AF79" s="44">
        <f t="shared" si="45"/>
        <v>0</v>
      </c>
      <c r="AG79" s="41" t="s">
        <v>600</v>
      </c>
      <c r="AH79" s="35" t="s">
        <v>21</v>
      </c>
      <c r="AI79" s="35" t="s">
        <v>21</v>
      </c>
      <c r="AJ79" s="35" t="s">
        <v>15</v>
      </c>
      <c r="AK79" s="35" t="s">
        <v>25</v>
      </c>
      <c r="AL79" s="35" t="s">
        <v>126</v>
      </c>
      <c r="AN79" s="42">
        <f t="shared" si="48"/>
        <v>252976</v>
      </c>
    </row>
    <row r="80" spans="1:40" s="37" customFormat="1" ht="86.4" x14ac:dyDescent="0.3">
      <c r="A80" s="37">
        <v>406</v>
      </c>
      <c r="B80" s="37" t="s">
        <v>604</v>
      </c>
      <c r="C80" s="35" t="s">
        <v>605</v>
      </c>
      <c r="D80" s="35">
        <v>3223</v>
      </c>
      <c r="E80" s="38">
        <v>44743</v>
      </c>
      <c r="F80" s="38">
        <v>46203</v>
      </c>
      <c r="G80" s="39">
        <f t="shared" si="37"/>
        <v>1460</v>
      </c>
      <c r="H80" s="40">
        <f t="shared" si="38"/>
        <v>1</v>
      </c>
      <c r="I80" s="66">
        <v>369823</v>
      </c>
      <c r="J80" s="66">
        <f>182622+404873</f>
        <v>587495</v>
      </c>
      <c r="K80" s="66">
        <v>0</v>
      </c>
      <c r="L80" s="42">
        <f t="shared" si="39"/>
        <v>957318</v>
      </c>
      <c r="M80" s="41">
        <v>552445</v>
      </c>
      <c r="N80" s="42">
        <f t="shared" si="40"/>
        <v>404873</v>
      </c>
      <c r="O80" s="45">
        <v>552445</v>
      </c>
      <c r="P80" s="67" t="s">
        <v>595</v>
      </c>
      <c r="Q80" s="35" t="s">
        <v>606</v>
      </c>
      <c r="R80" s="35" t="s">
        <v>607</v>
      </c>
      <c r="S80" s="35" t="s">
        <v>598</v>
      </c>
      <c r="T80" s="35" t="s">
        <v>1093</v>
      </c>
      <c r="U80" s="35" t="s">
        <v>26</v>
      </c>
      <c r="V80" s="84">
        <v>552445</v>
      </c>
      <c r="W80" s="179"/>
      <c r="X80" s="42">
        <f t="shared" si="41"/>
        <v>552445</v>
      </c>
      <c r="Y80" s="45">
        <v>552445</v>
      </c>
      <c r="Z80" s="170">
        <v>0</v>
      </c>
      <c r="AA80" s="42">
        <f t="shared" si="42"/>
        <v>552445</v>
      </c>
      <c r="AB80" s="43">
        <f t="shared" si="49"/>
        <v>1</v>
      </c>
      <c r="AC80" s="58">
        <v>234949.2</v>
      </c>
      <c r="AD80" s="42">
        <f t="shared" si="47"/>
        <v>787394.2</v>
      </c>
      <c r="AE80" s="42"/>
      <c r="AF80" s="44">
        <f t="shared" si="45"/>
        <v>234949.19999999995</v>
      </c>
      <c r="AG80" s="41" t="s">
        <v>600</v>
      </c>
      <c r="AH80" s="35" t="s">
        <v>21</v>
      </c>
      <c r="AI80" s="35" t="s">
        <v>21</v>
      </c>
      <c r="AJ80" s="35" t="s">
        <v>15</v>
      </c>
      <c r="AK80" s="35" t="s">
        <v>25</v>
      </c>
      <c r="AL80" s="35" t="s">
        <v>126</v>
      </c>
      <c r="AN80" s="42">
        <f t="shared" si="48"/>
        <v>234949.19999999995</v>
      </c>
    </row>
    <row r="81" spans="1:40" s="37" customFormat="1" ht="72" x14ac:dyDescent="0.3">
      <c r="A81" s="37">
        <v>406</v>
      </c>
      <c r="B81" s="37" t="s">
        <v>608</v>
      </c>
      <c r="C81" s="35" t="s">
        <v>609</v>
      </c>
      <c r="D81" s="35">
        <v>3223</v>
      </c>
      <c r="E81" s="38">
        <v>45474</v>
      </c>
      <c r="F81" s="38">
        <v>46203</v>
      </c>
      <c r="G81" s="39">
        <f t="shared" si="37"/>
        <v>729</v>
      </c>
      <c r="H81" s="40">
        <f t="shared" si="38"/>
        <v>0.37585733882030176</v>
      </c>
      <c r="I81" s="66">
        <v>0</v>
      </c>
      <c r="J81" s="66">
        <v>0</v>
      </c>
      <c r="K81" s="66">
        <v>0</v>
      </c>
      <c r="L81" s="42">
        <f t="shared" si="39"/>
        <v>0</v>
      </c>
      <c r="M81" s="41">
        <v>0</v>
      </c>
      <c r="N81" s="42">
        <f t="shared" si="40"/>
        <v>0</v>
      </c>
      <c r="O81" s="45">
        <v>268286</v>
      </c>
      <c r="P81" s="67" t="s">
        <v>595</v>
      </c>
      <c r="Q81" s="35" t="s">
        <v>606</v>
      </c>
      <c r="R81" s="35" t="s">
        <v>610</v>
      </c>
      <c r="S81" s="35" t="s">
        <v>598</v>
      </c>
      <c r="T81" s="35" t="s">
        <v>599</v>
      </c>
      <c r="U81" s="35" t="s">
        <v>22</v>
      </c>
      <c r="V81" s="84">
        <v>268286</v>
      </c>
      <c r="W81" s="179"/>
      <c r="X81" s="42">
        <f t="shared" si="41"/>
        <v>268286</v>
      </c>
      <c r="Y81" s="45">
        <v>182680.82</v>
      </c>
      <c r="Z81" s="171">
        <v>0</v>
      </c>
      <c r="AA81" s="42">
        <f t="shared" si="42"/>
        <v>182680.82</v>
      </c>
      <c r="AB81" s="43">
        <f t="shared" si="49"/>
        <v>0.68091819923514463</v>
      </c>
      <c r="AC81" s="58">
        <v>0</v>
      </c>
      <c r="AD81" s="42">
        <f t="shared" si="47"/>
        <v>268286</v>
      </c>
      <c r="AE81" s="42">
        <f t="shared" ref="AE81:AE93" si="50">M81-AD81</f>
        <v>-268286</v>
      </c>
      <c r="AF81" s="44">
        <f t="shared" si="45"/>
        <v>0</v>
      </c>
      <c r="AG81" s="41" t="s">
        <v>600</v>
      </c>
      <c r="AH81" s="35" t="s">
        <v>21</v>
      </c>
      <c r="AI81" s="35" t="s">
        <v>21</v>
      </c>
      <c r="AJ81" s="35" t="s">
        <v>15</v>
      </c>
      <c r="AK81" s="35" t="s">
        <v>25</v>
      </c>
      <c r="AL81" s="35" t="s">
        <v>126</v>
      </c>
      <c r="AN81" s="42">
        <f t="shared" si="48"/>
        <v>85605.18</v>
      </c>
    </row>
    <row r="82" spans="1:40" s="37" customFormat="1" ht="57.6" x14ac:dyDescent="0.3">
      <c r="A82" s="37">
        <v>406</v>
      </c>
      <c r="B82" s="37" t="s">
        <v>611</v>
      </c>
      <c r="C82" s="35" t="s">
        <v>612</v>
      </c>
      <c r="D82" s="35">
        <v>3223</v>
      </c>
      <c r="E82" s="38">
        <v>45108</v>
      </c>
      <c r="F82" s="38">
        <v>46203</v>
      </c>
      <c r="G82" s="39">
        <f t="shared" si="37"/>
        <v>1095</v>
      </c>
      <c r="H82" s="40">
        <f t="shared" si="38"/>
        <v>0.58447488584474883</v>
      </c>
      <c r="I82" s="59">
        <v>1730793</v>
      </c>
      <c r="J82" s="59">
        <f>-420086-404873</f>
        <v>-824959</v>
      </c>
      <c r="K82" s="59">
        <v>0</v>
      </c>
      <c r="L82" s="42">
        <f t="shared" si="39"/>
        <v>905834</v>
      </c>
      <c r="M82" s="60">
        <v>1730793</v>
      </c>
      <c r="N82" s="42">
        <f t="shared" si="40"/>
        <v>-824959</v>
      </c>
      <c r="O82" s="45">
        <v>1730793</v>
      </c>
      <c r="P82" s="67" t="s">
        <v>595</v>
      </c>
      <c r="Q82" s="35" t="s">
        <v>613</v>
      </c>
      <c r="R82" s="35" t="s">
        <v>614</v>
      </c>
      <c r="S82" s="35" t="s">
        <v>598</v>
      </c>
      <c r="T82" s="35" t="s">
        <v>615</v>
      </c>
      <c r="U82" s="35" t="s">
        <v>17</v>
      </c>
      <c r="V82" s="64">
        <v>1310707</v>
      </c>
      <c r="W82" s="179"/>
      <c r="X82" s="42">
        <f t="shared" si="41"/>
        <v>1310707</v>
      </c>
      <c r="Y82" s="64">
        <v>0</v>
      </c>
      <c r="Z82" s="170">
        <v>0</v>
      </c>
      <c r="AA82" s="42">
        <f t="shared" si="42"/>
        <v>0</v>
      </c>
      <c r="AB82" s="43">
        <f t="shared" si="49"/>
        <v>0</v>
      </c>
      <c r="AC82" s="60">
        <v>-420086</v>
      </c>
      <c r="AD82" s="42">
        <f t="shared" si="47"/>
        <v>1310707</v>
      </c>
      <c r="AE82" s="42">
        <f t="shared" si="50"/>
        <v>420086</v>
      </c>
      <c r="AF82" s="44">
        <f t="shared" si="45"/>
        <v>0</v>
      </c>
      <c r="AG82" s="45" t="s">
        <v>118</v>
      </c>
      <c r="AH82" s="35" t="s">
        <v>21</v>
      </c>
      <c r="AI82" s="35" t="s">
        <v>21</v>
      </c>
      <c r="AJ82" s="35" t="s">
        <v>15</v>
      </c>
      <c r="AK82" s="35" t="s">
        <v>25</v>
      </c>
      <c r="AL82" s="35" t="s">
        <v>126</v>
      </c>
      <c r="AN82" s="42">
        <f t="shared" si="48"/>
        <v>1310707</v>
      </c>
    </row>
    <row r="83" spans="1:40" s="37" customFormat="1" ht="144" x14ac:dyDescent="0.3">
      <c r="A83" s="37">
        <v>406</v>
      </c>
      <c r="B83" s="37" t="s">
        <v>616</v>
      </c>
      <c r="C83" s="35" t="s">
        <v>617</v>
      </c>
      <c r="D83" s="35">
        <v>3224</v>
      </c>
      <c r="E83" s="38">
        <v>44927</v>
      </c>
      <c r="F83" s="38">
        <v>46387</v>
      </c>
      <c r="G83" s="39">
        <f t="shared" si="37"/>
        <v>1460</v>
      </c>
      <c r="H83" s="40">
        <f t="shared" si="38"/>
        <v>0.56232876712328772</v>
      </c>
      <c r="I83" s="59">
        <v>6446148</v>
      </c>
      <c r="J83" s="59">
        <v>0</v>
      </c>
      <c r="K83" s="59">
        <v>0</v>
      </c>
      <c r="L83" s="42">
        <f t="shared" si="39"/>
        <v>6446148</v>
      </c>
      <c r="M83" s="60">
        <v>6446148</v>
      </c>
      <c r="N83" s="42">
        <f t="shared" si="40"/>
        <v>0</v>
      </c>
      <c r="O83" s="45">
        <v>6446148</v>
      </c>
      <c r="P83" s="67" t="s">
        <v>618</v>
      </c>
      <c r="Q83" s="35" t="s">
        <v>619</v>
      </c>
      <c r="R83" s="35" t="s">
        <v>620</v>
      </c>
      <c r="S83" s="35" t="s">
        <v>21</v>
      </c>
      <c r="T83" s="35" t="s">
        <v>1094</v>
      </c>
      <c r="U83" s="35" t="s">
        <v>17</v>
      </c>
      <c r="V83" s="64">
        <v>6446148</v>
      </c>
      <c r="W83" s="179"/>
      <c r="X83" s="42">
        <f t="shared" si="41"/>
        <v>6446148</v>
      </c>
      <c r="Y83" s="64">
        <v>2237087.92</v>
      </c>
      <c r="Z83" s="171">
        <v>151217.39000000001</v>
      </c>
      <c r="AA83" s="42">
        <f t="shared" si="42"/>
        <v>2388305.31</v>
      </c>
      <c r="AB83" s="43">
        <f t="shared" si="49"/>
        <v>0.37050115976238834</v>
      </c>
      <c r="AC83" s="59">
        <v>0</v>
      </c>
      <c r="AD83" s="42">
        <f t="shared" si="47"/>
        <v>6446148</v>
      </c>
      <c r="AE83" s="42">
        <f t="shared" si="50"/>
        <v>0</v>
      </c>
      <c r="AF83" s="44">
        <f t="shared" si="45"/>
        <v>0</v>
      </c>
      <c r="AG83" s="41" t="s">
        <v>621</v>
      </c>
      <c r="AH83" s="35"/>
      <c r="AI83" s="35"/>
      <c r="AJ83" s="35" t="s">
        <v>622</v>
      </c>
      <c r="AK83" s="37" t="s">
        <v>25</v>
      </c>
      <c r="AL83" s="37" t="s">
        <v>133</v>
      </c>
      <c r="AN83" s="42">
        <f t="shared" si="48"/>
        <v>4057842.69</v>
      </c>
    </row>
    <row r="84" spans="1:40" s="37" customFormat="1" ht="57.6" x14ac:dyDescent="0.3">
      <c r="A84" s="37">
        <v>406</v>
      </c>
      <c r="B84" s="37" t="s">
        <v>623</v>
      </c>
      <c r="C84" s="35" t="s">
        <v>624</v>
      </c>
      <c r="D84" s="35">
        <v>3234</v>
      </c>
      <c r="E84" s="38">
        <v>45091</v>
      </c>
      <c r="F84" s="38">
        <v>46387</v>
      </c>
      <c r="G84" s="39">
        <f t="shared" si="37"/>
        <v>1296</v>
      </c>
      <c r="H84" s="40">
        <f t="shared" si="38"/>
        <v>0.50694444444444442</v>
      </c>
      <c r="I84" s="59">
        <v>5494300</v>
      </c>
      <c r="J84" s="59">
        <v>0</v>
      </c>
      <c r="K84" s="59">
        <v>0</v>
      </c>
      <c r="L84" s="42">
        <f t="shared" si="39"/>
        <v>5494300</v>
      </c>
      <c r="M84" s="60">
        <v>5494300</v>
      </c>
      <c r="N84" s="42">
        <f t="shared" si="40"/>
        <v>0</v>
      </c>
      <c r="O84" s="45">
        <v>5494300</v>
      </c>
      <c r="P84" s="61" t="s">
        <v>625</v>
      </c>
      <c r="Q84" s="36" t="s">
        <v>626</v>
      </c>
      <c r="R84" s="35" t="s">
        <v>627</v>
      </c>
      <c r="S84" s="35" t="s">
        <v>556</v>
      </c>
      <c r="T84" t="s">
        <v>628</v>
      </c>
      <c r="U84" s="35" t="s">
        <v>17</v>
      </c>
      <c r="V84" s="64">
        <v>5494300</v>
      </c>
      <c r="W84" s="179"/>
      <c r="X84" s="42">
        <f t="shared" si="41"/>
        <v>5494300</v>
      </c>
      <c r="Y84" s="64">
        <v>576000.79</v>
      </c>
      <c r="Z84" s="171">
        <v>115691.72</v>
      </c>
      <c r="AA84" s="42">
        <f t="shared" si="42"/>
        <v>691692.51</v>
      </c>
      <c r="AB84" s="43">
        <f t="shared" si="49"/>
        <v>0.1258927452086708</v>
      </c>
      <c r="AC84" s="59">
        <v>0</v>
      </c>
      <c r="AD84" s="42">
        <f t="shared" si="47"/>
        <v>5494300</v>
      </c>
      <c r="AE84" s="42">
        <f t="shared" si="50"/>
        <v>0</v>
      </c>
      <c r="AF84" s="44">
        <f t="shared" si="45"/>
        <v>0</v>
      </c>
      <c r="AG84" s="45" t="s">
        <v>118</v>
      </c>
      <c r="AH84" s="35" t="s">
        <v>21</v>
      </c>
      <c r="AI84" s="35" t="s">
        <v>21</v>
      </c>
      <c r="AJ84" s="35" t="s">
        <v>15</v>
      </c>
      <c r="AK84" s="35" t="s">
        <v>25</v>
      </c>
      <c r="AL84" s="35" t="s">
        <v>126</v>
      </c>
      <c r="AM84" s="76"/>
      <c r="AN84" s="42">
        <f t="shared" si="48"/>
        <v>4802607.49</v>
      </c>
    </row>
    <row r="85" spans="1:40" s="37" customFormat="1" ht="243.75" customHeight="1" x14ac:dyDescent="0.3">
      <c r="A85" s="37">
        <v>406</v>
      </c>
      <c r="B85" s="37" t="s">
        <v>629</v>
      </c>
      <c r="C85" s="35" t="s">
        <v>630</v>
      </c>
      <c r="D85" s="35">
        <v>3234</v>
      </c>
      <c r="E85" s="38">
        <v>45092</v>
      </c>
      <c r="F85" s="38">
        <v>46387</v>
      </c>
      <c r="G85" s="39">
        <f t="shared" si="37"/>
        <v>1295</v>
      </c>
      <c r="H85" s="40">
        <f t="shared" si="38"/>
        <v>0.50656370656370653</v>
      </c>
      <c r="I85" s="59">
        <v>666000</v>
      </c>
      <c r="J85" s="59">
        <v>0</v>
      </c>
      <c r="K85" s="59">
        <v>0</v>
      </c>
      <c r="L85" s="42">
        <f t="shared" si="39"/>
        <v>666000</v>
      </c>
      <c r="M85" s="52">
        <v>0</v>
      </c>
      <c r="N85" s="42">
        <f t="shared" si="40"/>
        <v>666000</v>
      </c>
      <c r="O85" s="45">
        <v>666000</v>
      </c>
      <c r="P85" s="61" t="s">
        <v>631</v>
      </c>
      <c r="Q85" s="35" t="s">
        <v>632</v>
      </c>
      <c r="R85" s="185" t="s">
        <v>633</v>
      </c>
      <c r="S85" s="35" t="s">
        <v>634</v>
      </c>
      <c r="T85" s="35" t="s">
        <v>635</v>
      </c>
      <c r="U85" s="35" t="s">
        <v>17</v>
      </c>
      <c r="V85" s="64">
        <v>666000</v>
      </c>
      <c r="W85" s="179"/>
      <c r="X85" s="42">
        <f t="shared" si="41"/>
        <v>666000</v>
      </c>
      <c r="Y85" s="64">
        <v>85641.86</v>
      </c>
      <c r="Z85" s="171">
        <v>4668.29</v>
      </c>
      <c r="AA85" s="42">
        <f t="shared" si="42"/>
        <v>90310.15</v>
      </c>
      <c r="AB85" s="43">
        <f t="shared" ref="AB85:AB93" si="51">AA85/O85</f>
        <v>0.1356008258258258</v>
      </c>
      <c r="AC85" s="59">
        <v>0</v>
      </c>
      <c r="AD85" s="42">
        <f t="shared" si="47"/>
        <v>666000</v>
      </c>
      <c r="AE85" s="42">
        <f t="shared" si="50"/>
        <v>-666000</v>
      </c>
      <c r="AF85" s="44">
        <f t="shared" si="45"/>
        <v>0</v>
      </c>
      <c r="AG85" s="45" t="s">
        <v>118</v>
      </c>
      <c r="AH85" s="35" t="s">
        <v>21</v>
      </c>
      <c r="AI85" s="35" t="s">
        <v>21</v>
      </c>
      <c r="AJ85" s="35" t="s">
        <v>15</v>
      </c>
      <c r="AK85" s="35" t="s">
        <v>25</v>
      </c>
      <c r="AL85" s="35" t="s">
        <v>126</v>
      </c>
      <c r="AN85" s="42">
        <f t="shared" si="48"/>
        <v>575689.85</v>
      </c>
    </row>
    <row r="86" spans="1:40" s="37" customFormat="1" ht="28.8" x14ac:dyDescent="0.3">
      <c r="A86" s="37">
        <v>406</v>
      </c>
      <c r="B86" s="37" t="s">
        <v>636</v>
      </c>
      <c r="C86" s="35" t="s">
        <v>637</v>
      </c>
      <c r="D86" s="35">
        <v>3645</v>
      </c>
      <c r="E86" s="38">
        <v>44733</v>
      </c>
      <c r="F86" s="38">
        <v>44742</v>
      </c>
      <c r="G86" s="39">
        <f t="shared" si="37"/>
        <v>9</v>
      </c>
      <c r="H86" s="40">
        <f t="shared" si="38"/>
        <v>1</v>
      </c>
      <c r="I86" s="59">
        <v>107270</v>
      </c>
      <c r="J86" s="59">
        <v>14295.5</v>
      </c>
      <c r="K86" s="59">
        <v>0</v>
      </c>
      <c r="L86" s="42">
        <f t="shared" si="39"/>
        <v>121565.5</v>
      </c>
      <c r="M86" s="60">
        <v>107270</v>
      </c>
      <c r="N86" s="42">
        <f t="shared" si="40"/>
        <v>14295.5</v>
      </c>
      <c r="O86" s="45">
        <v>107270</v>
      </c>
      <c r="P86" s="67" t="s">
        <v>638</v>
      </c>
      <c r="Q86" s="35" t="s">
        <v>639</v>
      </c>
      <c r="R86" s="35" t="s">
        <v>21</v>
      </c>
      <c r="S86" s="35" t="s">
        <v>21</v>
      </c>
      <c r="T86" s="62" t="s">
        <v>213</v>
      </c>
      <c r="U86" s="35" t="s">
        <v>26</v>
      </c>
      <c r="V86" s="64">
        <v>92974.5</v>
      </c>
      <c r="W86" s="179"/>
      <c r="X86" s="42">
        <f t="shared" si="41"/>
        <v>92974.5</v>
      </c>
      <c r="Y86" s="65">
        <v>92974.5</v>
      </c>
      <c r="Z86" s="170"/>
      <c r="AA86" s="42">
        <f t="shared" si="42"/>
        <v>92974.5</v>
      </c>
      <c r="AB86" s="43">
        <f t="shared" si="51"/>
        <v>0.86673347627482056</v>
      </c>
      <c r="AC86" s="60">
        <v>-14295.5</v>
      </c>
      <c r="AD86" s="42">
        <f t="shared" si="47"/>
        <v>92974.5</v>
      </c>
      <c r="AE86" s="42">
        <f t="shared" si="50"/>
        <v>14295.5</v>
      </c>
      <c r="AF86" s="44">
        <f t="shared" si="45"/>
        <v>0</v>
      </c>
      <c r="AG86" s="45" t="s">
        <v>640</v>
      </c>
      <c r="AH86" s="35" t="s">
        <v>21</v>
      </c>
      <c r="AI86" s="35" t="s">
        <v>21</v>
      </c>
      <c r="AJ86" s="35" t="s">
        <v>15</v>
      </c>
      <c r="AK86" s="35" t="s">
        <v>641</v>
      </c>
      <c r="AL86" s="35" t="s">
        <v>161</v>
      </c>
      <c r="AN86" s="42">
        <f t="shared" si="48"/>
        <v>0</v>
      </c>
    </row>
    <row r="87" spans="1:40" s="37" customFormat="1" ht="172.8" x14ac:dyDescent="0.3">
      <c r="A87" s="37">
        <v>406</v>
      </c>
      <c r="B87" s="37" t="s">
        <v>642</v>
      </c>
      <c r="C87" s="35" t="s">
        <v>643</v>
      </c>
      <c r="D87" s="35">
        <v>3645</v>
      </c>
      <c r="E87" s="38">
        <v>44791</v>
      </c>
      <c r="F87" s="38">
        <v>45838</v>
      </c>
      <c r="G87" s="39">
        <f t="shared" si="37"/>
        <v>1047</v>
      </c>
      <c r="H87" s="40">
        <f t="shared" si="38"/>
        <v>0.91404011461318047</v>
      </c>
      <c r="I87" s="59">
        <v>1462644</v>
      </c>
      <c r="J87" s="59">
        <v>0</v>
      </c>
      <c r="K87" s="59">
        <v>0</v>
      </c>
      <c r="L87" s="42">
        <f t="shared" si="39"/>
        <v>1462644</v>
      </c>
      <c r="M87" s="60">
        <v>1462644</v>
      </c>
      <c r="N87" s="42">
        <f t="shared" si="40"/>
        <v>0</v>
      </c>
      <c r="O87" s="45">
        <v>1462644</v>
      </c>
      <c r="P87" s="67" t="s">
        <v>644</v>
      </c>
      <c r="Q87" s="35" t="s">
        <v>645</v>
      </c>
      <c r="R87" s="35" t="s">
        <v>21</v>
      </c>
      <c r="S87" s="35" t="s">
        <v>21</v>
      </c>
      <c r="T87" s="68" t="s">
        <v>646</v>
      </c>
      <c r="U87" s="35" t="s">
        <v>17</v>
      </c>
      <c r="V87" s="64">
        <v>1462644</v>
      </c>
      <c r="W87" s="179"/>
      <c r="X87" s="42">
        <f t="shared" si="41"/>
        <v>1462644</v>
      </c>
      <c r="Y87" s="64">
        <v>636094.67999999993</v>
      </c>
      <c r="Z87" s="171">
        <v>7044.5</v>
      </c>
      <c r="AA87" s="42">
        <f t="shared" si="42"/>
        <v>643139.17999999993</v>
      </c>
      <c r="AB87" s="43">
        <f t="shared" si="51"/>
        <v>0.43970999094789981</v>
      </c>
      <c r="AC87" s="59">
        <v>0</v>
      </c>
      <c r="AD87" s="42">
        <f t="shared" si="47"/>
        <v>1462644</v>
      </c>
      <c r="AE87" s="42">
        <f t="shared" si="50"/>
        <v>0</v>
      </c>
      <c r="AF87" s="44">
        <f t="shared" si="45"/>
        <v>0</v>
      </c>
      <c r="AG87" s="45" t="s">
        <v>647</v>
      </c>
      <c r="AH87" s="35" t="s">
        <v>21</v>
      </c>
      <c r="AI87" s="35" t="s">
        <v>21</v>
      </c>
      <c r="AJ87" s="35" t="s">
        <v>8</v>
      </c>
      <c r="AK87" s="35" t="s">
        <v>641</v>
      </c>
      <c r="AL87" s="35" t="s">
        <v>119</v>
      </c>
      <c r="AN87" s="42">
        <f t="shared" si="48"/>
        <v>819504.82000000007</v>
      </c>
    </row>
    <row r="88" spans="1:40" s="37" customFormat="1" ht="57.6" x14ac:dyDescent="0.3">
      <c r="A88" s="37">
        <v>406</v>
      </c>
      <c r="B88" s="37" t="s">
        <v>648</v>
      </c>
      <c r="C88" s="35" t="s">
        <v>649</v>
      </c>
      <c r="D88" s="35">
        <v>3645</v>
      </c>
      <c r="E88" s="38">
        <v>45273</v>
      </c>
      <c r="F88" s="38">
        <v>46387</v>
      </c>
      <c r="G88" s="39">
        <f t="shared" si="37"/>
        <v>1114</v>
      </c>
      <c r="H88" s="40">
        <f t="shared" si="38"/>
        <v>0.42639138240574509</v>
      </c>
      <c r="I88" s="59">
        <v>4920000</v>
      </c>
      <c r="J88" s="59">
        <v>-1404094</v>
      </c>
      <c r="K88" s="59">
        <v>0</v>
      </c>
      <c r="L88" s="42">
        <f t="shared" si="39"/>
        <v>3515906</v>
      </c>
      <c r="M88" s="60">
        <v>4920000</v>
      </c>
      <c r="N88" s="42">
        <f t="shared" si="40"/>
        <v>-1404094</v>
      </c>
      <c r="O88" s="45">
        <v>4920000</v>
      </c>
      <c r="P88" s="67" t="s">
        <v>650</v>
      </c>
      <c r="Q88" s="35" t="s">
        <v>1095</v>
      </c>
      <c r="R88" s="35" t="s">
        <v>21</v>
      </c>
      <c r="S88" s="35" t="s">
        <v>21</v>
      </c>
      <c r="T88" s="68" t="s">
        <v>651</v>
      </c>
      <c r="U88" s="35" t="s">
        <v>17</v>
      </c>
      <c r="V88" s="64">
        <v>4260000</v>
      </c>
      <c r="W88" s="179"/>
      <c r="X88" s="42">
        <f t="shared" si="41"/>
        <v>4260000</v>
      </c>
      <c r="Y88" s="64">
        <v>822149.22</v>
      </c>
      <c r="Z88" s="171">
        <v>99878.29</v>
      </c>
      <c r="AA88" s="42">
        <f t="shared" si="42"/>
        <v>922027.51</v>
      </c>
      <c r="AB88" s="43">
        <f t="shared" si="51"/>
        <v>0.18740396544715449</v>
      </c>
      <c r="AC88" s="60">
        <v>-660000</v>
      </c>
      <c r="AD88" s="42">
        <f t="shared" si="47"/>
        <v>4260000</v>
      </c>
      <c r="AE88" s="42">
        <f t="shared" si="50"/>
        <v>660000</v>
      </c>
      <c r="AF88" s="44">
        <f t="shared" si="45"/>
        <v>0</v>
      </c>
      <c r="AG88" s="45" t="s">
        <v>430</v>
      </c>
      <c r="AH88" s="35" t="s">
        <v>21</v>
      </c>
      <c r="AI88" s="35" t="s">
        <v>21</v>
      </c>
      <c r="AJ88" s="35" t="s">
        <v>15</v>
      </c>
      <c r="AK88" s="35" t="s">
        <v>25</v>
      </c>
      <c r="AL88" s="35" t="s">
        <v>161</v>
      </c>
      <c r="AN88" s="42">
        <f t="shared" si="48"/>
        <v>3337972.49</v>
      </c>
    </row>
    <row r="89" spans="1:40" s="37" customFormat="1" ht="144" x14ac:dyDescent="0.3">
      <c r="A89" s="37">
        <v>406</v>
      </c>
      <c r="B89" s="37" t="s">
        <v>652</v>
      </c>
      <c r="C89" s="35" t="s">
        <v>653</v>
      </c>
      <c r="D89" s="35">
        <v>3648</v>
      </c>
      <c r="E89" s="38">
        <v>44854</v>
      </c>
      <c r="F89" s="38">
        <v>45838</v>
      </c>
      <c r="G89" s="39">
        <f t="shared" si="37"/>
        <v>984</v>
      </c>
      <c r="H89" s="40">
        <f t="shared" si="38"/>
        <v>0.90853658536585369</v>
      </c>
      <c r="I89" s="59">
        <v>572381</v>
      </c>
      <c r="J89" s="59">
        <v>0</v>
      </c>
      <c r="K89" s="59">
        <v>0</v>
      </c>
      <c r="L89" s="42">
        <f t="shared" si="39"/>
        <v>572381</v>
      </c>
      <c r="M89" s="60">
        <v>572381</v>
      </c>
      <c r="N89" s="42">
        <f t="shared" si="40"/>
        <v>0</v>
      </c>
      <c r="O89" s="45">
        <v>572381</v>
      </c>
      <c r="P89" s="67" t="s">
        <v>654</v>
      </c>
      <c r="Q89" s="35" t="s">
        <v>1096</v>
      </c>
      <c r="R89" s="35" t="s">
        <v>655</v>
      </c>
      <c r="S89" s="35" t="s">
        <v>656</v>
      </c>
      <c r="T89" s="72" t="s">
        <v>657</v>
      </c>
      <c r="U89" s="35" t="s">
        <v>17</v>
      </c>
      <c r="V89" s="64">
        <v>572381</v>
      </c>
      <c r="W89" s="179"/>
      <c r="X89" s="42">
        <f t="shared" si="41"/>
        <v>572381</v>
      </c>
      <c r="Y89" s="64">
        <v>494530.08</v>
      </c>
      <c r="Z89" s="171">
        <v>38884.080000000002</v>
      </c>
      <c r="AA89" s="42">
        <f t="shared" si="42"/>
        <v>533414.16</v>
      </c>
      <c r="AB89" s="43">
        <f t="shared" si="51"/>
        <v>0.9319214998401415</v>
      </c>
      <c r="AC89" s="59">
        <v>0</v>
      </c>
      <c r="AD89" s="42">
        <f t="shared" si="47"/>
        <v>572381</v>
      </c>
      <c r="AE89" s="42">
        <f t="shared" si="50"/>
        <v>0</v>
      </c>
      <c r="AF89" s="44">
        <f t="shared" si="45"/>
        <v>0</v>
      </c>
      <c r="AG89" s="41" t="s">
        <v>658</v>
      </c>
      <c r="AH89" s="35" t="s">
        <v>21</v>
      </c>
      <c r="AI89" s="41">
        <v>0</v>
      </c>
      <c r="AJ89" s="35" t="s">
        <v>15</v>
      </c>
      <c r="AK89" s="35" t="s">
        <v>20</v>
      </c>
      <c r="AL89" s="35" t="s">
        <v>161</v>
      </c>
      <c r="AN89" s="42">
        <f t="shared" si="48"/>
        <v>38966.839999999967</v>
      </c>
    </row>
    <row r="90" spans="1:40" s="37" customFormat="1" ht="117" customHeight="1" thickBot="1" x14ac:dyDescent="0.35">
      <c r="A90" s="37">
        <v>406</v>
      </c>
      <c r="B90" s="37" t="s">
        <v>659</v>
      </c>
      <c r="C90" s="35" t="s">
        <v>660</v>
      </c>
      <c r="D90" s="35" t="s">
        <v>661</v>
      </c>
      <c r="E90" s="38">
        <v>44790</v>
      </c>
      <c r="F90" s="38">
        <v>46387</v>
      </c>
      <c r="G90" s="39">
        <f t="shared" si="37"/>
        <v>1597</v>
      </c>
      <c r="H90" s="40">
        <f t="shared" si="38"/>
        <v>0.59987476518472138</v>
      </c>
      <c r="I90" s="41">
        <v>10000000</v>
      </c>
      <c r="J90" s="41">
        <v>0</v>
      </c>
      <c r="K90" s="41">
        <v>0</v>
      </c>
      <c r="L90" s="42">
        <f t="shared" si="39"/>
        <v>10000000</v>
      </c>
      <c r="M90" s="41">
        <v>10000000</v>
      </c>
      <c r="N90" s="42">
        <f t="shared" si="40"/>
        <v>0</v>
      </c>
      <c r="O90" s="45">
        <v>10000000</v>
      </c>
      <c r="P90" s="67" t="s">
        <v>662</v>
      </c>
      <c r="Q90" s="35" t="s">
        <v>663</v>
      </c>
      <c r="R90" s="35" t="s">
        <v>664</v>
      </c>
      <c r="S90" s="35" t="s">
        <v>665</v>
      </c>
      <c r="T90" s="85" t="s">
        <v>666</v>
      </c>
      <c r="U90" s="35" t="s">
        <v>17</v>
      </c>
      <c r="V90" s="84">
        <v>10000000</v>
      </c>
      <c r="W90" s="179"/>
      <c r="X90" s="42">
        <f t="shared" si="41"/>
        <v>10000000</v>
      </c>
      <c r="Y90" s="45">
        <v>898109.97</v>
      </c>
      <c r="Z90" s="180">
        <v>28225.27</v>
      </c>
      <c r="AA90" s="42">
        <f t="shared" si="42"/>
        <v>926335.24</v>
      </c>
      <c r="AB90" s="43">
        <f t="shared" si="51"/>
        <v>9.2633523999999995E-2</v>
      </c>
      <c r="AC90" s="58">
        <v>0</v>
      </c>
      <c r="AD90" s="42">
        <f t="shared" si="47"/>
        <v>10000000</v>
      </c>
      <c r="AE90" s="42">
        <f t="shared" si="50"/>
        <v>0</v>
      </c>
      <c r="AF90" s="44">
        <f t="shared" si="45"/>
        <v>0</v>
      </c>
      <c r="AG90" s="45" t="s">
        <v>430</v>
      </c>
      <c r="AH90" s="35" t="s">
        <v>21</v>
      </c>
      <c r="AI90" s="35" t="s">
        <v>21</v>
      </c>
      <c r="AJ90" s="35" t="s">
        <v>8</v>
      </c>
      <c r="AK90" s="35" t="s">
        <v>641</v>
      </c>
      <c r="AL90" s="35" t="s">
        <v>119</v>
      </c>
      <c r="AN90" s="42">
        <f t="shared" si="48"/>
        <v>9073664.7599999998</v>
      </c>
    </row>
    <row r="91" spans="1:40" s="37" customFormat="1" ht="117.75" customHeight="1" x14ac:dyDescent="0.3">
      <c r="A91" s="37">
        <v>406</v>
      </c>
      <c r="B91" s="37" t="s">
        <v>667</v>
      </c>
      <c r="C91" s="35" t="s">
        <v>668</v>
      </c>
      <c r="D91" s="35" t="s">
        <v>661</v>
      </c>
      <c r="E91" s="38">
        <v>44790</v>
      </c>
      <c r="F91" s="38">
        <v>46387</v>
      </c>
      <c r="G91" s="39">
        <f t="shared" si="37"/>
        <v>1597</v>
      </c>
      <c r="H91" s="40">
        <f t="shared" si="38"/>
        <v>0.59987476518472138</v>
      </c>
      <c r="I91" s="41">
        <v>3700000</v>
      </c>
      <c r="J91" s="41">
        <v>0</v>
      </c>
      <c r="K91" s="41">
        <v>0</v>
      </c>
      <c r="L91" s="42">
        <f t="shared" si="39"/>
        <v>3700000</v>
      </c>
      <c r="M91" s="41">
        <v>3700000</v>
      </c>
      <c r="N91" s="42">
        <f t="shared" si="40"/>
        <v>0</v>
      </c>
      <c r="O91" s="45">
        <v>3700000</v>
      </c>
      <c r="P91" s="67" t="s">
        <v>662</v>
      </c>
      <c r="Q91" s="35" t="s">
        <v>669</v>
      </c>
      <c r="R91" s="35" t="s">
        <v>670</v>
      </c>
      <c r="S91" s="35" t="s">
        <v>665</v>
      </c>
      <c r="T91" s="86" t="s">
        <v>671</v>
      </c>
      <c r="U91" s="35" t="s">
        <v>17</v>
      </c>
      <c r="V91" s="84">
        <v>3700000</v>
      </c>
      <c r="W91" s="179"/>
      <c r="X91" s="42">
        <f t="shared" si="41"/>
        <v>3700000</v>
      </c>
      <c r="Y91" s="45">
        <v>503392.51</v>
      </c>
      <c r="Z91" s="171">
        <v>50661.25</v>
      </c>
      <c r="AA91" s="42">
        <f t="shared" si="42"/>
        <v>554053.76</v>
      </c>
      <c r="AB91" s="43">
        <f t="shared" si="51"/>
        <v>0.14974425945945946</v>
      </c>
      <c r="AC91" s="58">
        <v>0</v>
      </c>
      <c r="AD91" s="42">
        <f t="shared" si="47"/>
        <v>3700000</v>
      </c>
      <c r="AE91" s="42">
        <f t="shared" si="50"/>
        <v>0</v>
      </c>
      <c r="AF91" s="44">
        <f t="shared" si="45"/>
        <v>0</v>
      </c>
      <c r="AG91" s="45" t="s">
        <v>430</v>
      </c>
      <c r="AH91" s="35" t="s">
        <v>21</v>
      </c>
      <c r="AI91" s="35" t="s">
        <v>21</v>
      </c>
      <c r="AJ91" s="35" t="s">
        <v>15</v>
      </c>
      <c r="AK91" s="35" t="s">
        <v>20</v>
      </c>
      <c r="AL91" s="35" t="s">
        <v>126</v>
      </c>
      <c r="AN91" s="42">
        <f t="shared" si="48"/>
        <v>3145946.24</v>
      </c>
    </row>
    <row r="92" spans="1:40" s="37" customFormat="1" ht="109.5" customHeight="1" x14ac:dyDescent="0.3">
      <c r="A92" s="37">
        <v>406</v>
      </c>
      <c r="B92" s="37" t="s">
        <v>672</v>
      </c>
      <c r="C92" s="35" t="s">
        <v>673</v>
      </c>
      <c r="D92" s="35" t="s">
        <v>661</v>
      </c>
      <c r="E92" s="38">
        <v>44790</v>
      </c>
      <c r="F92" s="38">
        <v>46387</v>
      </c>
      <c r="G92" s="39">
        <f t="shared" si="37"/>
        <v>1597</v>
      </c>
      <c r="H92" s="87">
        <f t="shared" si="38"/>
        <v>0.59987476518472138</v>
      </c>
      <c r="I92" s="41">
        <v>1600000</v>
      </c>
      <c r="J92" s="41">
        <v>0</v>
      </c>
      <c r="K92" s="41">
        <v>0</v>
      </c>
      <c r="L92" s="42">
        <f t="shared" si="39"/>
        <v>1600000</v>
      </c>
      <c r="M92" s="41">
        <v>1600000</v>
      </c>
      <c r="N92" s="42">
        <f t="shared" si="40"/>
        <v>0</v>
      </c>
      <c r="O92" s="88">
        <v>1600000</v>
      </c>
      <c r="P92" s="67" t="s">
        <v>662</v>
      </c>
      <c r="Q92" s="35" t="s">
        <v>674</v>
      </c>
      <c r="R92" s="35" t="s">
        <v>675</v>
      </c>
      <c r="S92" s="35" t="s">
        <v>665</v>
      </c>
      <c r="T92" s="68" t="s">
        <v>676</v>
      </c>
      <c r="U92" s="35" t="s">
        <v>22</v>
      </c>
      <c r="V92" s="69">
        <v>1600000</v>
      </c>
      <c r="W92" s="179"/>
      <c r="X92" s="89">
        <f t="shared" si="41"/>
        <v>1600000</v>
      </c>
      <c r="Y92" s="88">
        <v>1218144.74</v>
      </c>
      <c r="Z92" s="171">
        <v>2870.7</v>
      </c>
      <c r="AA92" s="90">
        <f t="shared" si="42"/>
        <v>1221015.44</v>
      </c>
      <c r="AB92" s="91">
        <f t="shared" si="51"/>
        <v>0.76313464999999991</v>
      </c>
      <c r="AC92" s="92">
        <v>0</v>
      </c>
      <c r="AD92" s="90">
        <f t="shared" si="47"/>
        <v>1600000</v>
      </c>
      <c r="AE92" s="42">
        <f t="shared" si="50"/>
        <v>0</v>
      </c>
      <c r="AF92" s="93">
        <f t="shared" si="45"/>
        <v>0</v>
      </c>
      <c r="AG92" s="45" t="s">
        <v>430</v>
      </c>
      <c r="AH92" s="35" t="s">
        <v>21</v>
      </c>
      <c r="AI92" s="35" t="s">
        <v>21</v>
      </c>
      <c r="AJ92" s="35" t="s">
        <v>8</v>
      </c>
      <c r="AK92" s="35" t="s">
        <v>20</v>
      </c>
      <c r="AL92" s="35" t="s">
        <v>119</v>
      </c>
      <c r="AN92" s="42">
        <f t="shared" si="48"/>
        <v>378984.56000000006</v>
      </c>
    </row>
    <row r="93" spans="1:40" s="37" customFormat="1" ht="57.6" x14ac:dyDescent="0.3">
      <c r="A93" s="37">
        <v>406</v>
      </c>
      <c r="B93" s="37" t="s">
        <v>677</v>
      </c>
      <c r="C93" s="35" t="s">
        <v>678</v>
      </c>
      <c r="D93" s="35" t="s">
        <v>661</v>
      </c>
      <c r="E93" s="38">
        <v>44790</v>
      </c>
      <c r="F93" s="38">
        <v>46387</v>
      </c>
      <c r="G93" s="39">
        <f t="shared" si="37"/>
        <v>1597</v>
      </c>
      <c r="H93" s="87">
        <f t="shared" si="38"/>
        <v>1</v>
      </c>
      <c r="I93" s="41">
        <v>5500000</v>
      </c>
      <c r="J93" s="41">
        <v>0</v>
      </c>
      <c r="K93" s="41">
        <v>0</v>
      </c>
      <c r="L93" s="42">
        <f t="shared" si="39"/>
        <v>5500000</v>
      </c>
      <c r="M93" s="41">
        <v>5500000</v>
      </c>
      <c r="N93" s="42">
        <f t="shared" si="40"/>
        <v>0</v>
      </c>
      <c r="O93" s="88">
        <v>5500000</v>
      </c>
      <c r="P93" s="67" t="s">
        <v>662</v>
      </c>
      <c r="Q93" s="94" t="s">
        <v>679</v>
      </c>
      <c r="R93" s="35" t="s">
        <v>680</v>
      </c>
      <c r="S93" s="35" t="s">
        <v>665</v>
      </c>
      <c r="T93" s="68" t="s">
        <v>189</v>
      </c>
      <c r="U93" s="35" t="s">
        <v>26</v>
      </c>
      <c r="V93" s="69">
        <v>5500000</v>
      </c>
      <c r="W93" s="95"/>
      <c r="X93" s="89">
        <f t="shared" si="41"/>
        <v>5500000</v>
      </c>
      <c r="Y93" s="88">
        <v>5446133.7300000004</v>
      </c>
      <c r="Z93" s="88"/>
      <c r="AA93" s="90">
        <f t="shared" si="42"/>
        <v>5446133.7300000004</v>
      </c>
      <c r="AB93" s="91">
        <f t="shared" si="51"/>
        <v>0.99020613272727276</v>
      </c>
      <c r="AC93" s="92"/>
      <c r="AD93" s="90">
        <f t="shared" si="47"/>
        <v>5500000</v>
      </c>
      <c r="AE93" s="42">
        <f t="shared" si="50"/>
        <v>0</v>
      </c>
      <c r="AF93" s="93">
        <f t="shared" si="45"/>
        <v>0</v>
      </c>
      <c r="AG93" s="45" t="s">
        <v>430</v>
      </c>
      <c r="AH93" s="35" t="s">
        <v>21</v>
      </c>
      <c r="AI93" s="35" t="s">
        <v>21</v>
      </c>
      <c r="AJ93" s="35" t="s">
        <v>15</v>
      </c>
      <c r="AK93" s="35" t="s">
        <v>160</v>
      </c>
      <c r="AL93" s="35" t="s">
        <v>126</v>
      </c>
      <c r="AN93" s="42">
        <f t="shared" si="48"/>
        <v>53866.269999999553</v>
      </c>
    </row>
    <row r="94" spans="1:40" s="141" customFormat="1" ht="72" x14ac:dyDescent="0.3">
      <c r="A94" s="141">
        <v>407</v>
      </c>
      <c r="B94" s="141" t="s">
        <v>681</v>
      </c>
      <c r="C94" s="124" t="s">
        <v>682</v>
      </c>
      <c r="D94" s="124">
        <v>3267</v>
      </c>
      <c r="E94" s="142">
        <v>44658</v>
      </c>
      <c r="F94" s="142">
        <v>45351</v>
      </c>
      <c r="G94" s="143">
        <f t="shared" ref="G94:G99" si="52">F94-E94</f>
        <v>693</v>
      </c>
      <c r="H94" s="144">
        <f t="shared" ref="H94:H99" si="53">IF(U94="Completed",1,($B$1-E94)/G94)</f>
        <v>1</v>
      </c>
      <c r="I94" s="163">
        <v>44280</v>
      </c>
      <c r="J94" s="163">
        <v>0</v>
      </c>
      <c r="K94" s="163">
        <v>0</v>
      </c>
      <c r="L94" s="145">
        <f t="shared" ref="L94:L100" si="54">I94+J94+K94</f>
        <v>44280</v>
      </c>
      <c r="M94" s="163">
        <v>44280</v>
      </c>
      <c r="N94" s="145">
        <f t="shared" ref="N94:N100" si="55">L94-M94</f>
        <v>0</v>
      </c>
      <c r="O94" s="164">
        <v>44280</v>
      </c>
      <c r="P94" s="146" t="s">
        <v>662</v>
      </c>
      <c r="Q94" s="147" t="s">
        <v>683</v>
      </c>
      <c r="R94" s="124" t="s">
        <v>684</v>
      </c>
      <c r="S94" s="124" t="s">
        <v>21</v>
      </c>
      <c r="T94" s="124" t="s">
        <v>189</v>
      </c>
      <c r="U94" s="124" t="s">
        <v>26</v>
      </c>
      <c r="V94" s="148">
        <v>44280</v>
      </c>
      <c r="W94" s="165"/>
      <c r="X94" s="149">
        <f t="shared" ref="X94:X99" si="56">V94+W94</f>
        <v>44280</v>
      </c>
      <c r="Y94" s="148">
        <v>44280</v>
      </c>
      <c r="Z94" s="118">
        <v>0</v>
      </c>
      <c r="AA94" s="150">
        <f t="shared" ref="AA94:AA99" si="57">Y94+Z94</f>
        <v>44280</v>
      </c>
      <c r="AB94" s="151">
        <f t="shared" ref="AB94:AB97" si="58">AA94/O94</f>
        <v>1</v>
      </c>
      <c r="AC94" s="165">
        <v>0</v>
      </c>
      <c r="AD94" s="150">
        <f t="shared" ref="AD94" si="59">O94+AC94</f>
        <v>44280</v>
      </c>
      <c r="AE94" s="145">
        <f t="shared" ref="AE94:AE100" si="60">M94-AD94</f>
        <v>0</v>
      </c>
      <c r="AF94" s="152">
        <f t="shared" ref="AF94:AF100" si="61">AD94-X94</f>
        <v>0</v>
      </c>
      <c r="AG94" s="153" t="s">
        <v>118</v>
      </c>
      <c r="AH94" s="124">
        <v>0</v>
      </c>
      <c r="AI94" s="124">
        <v>0</v>
      </c>
      <c r="AJ94" s="124" t="s">
        <v>15</v>
      </c>
      <c r="AK94" s="124" t="s">
        <v>20</v>
      </c>
      <c r="AL94" s="124" t="s">
        <v>685</v>
      </c>
      <c r="AN94" s="145">
        <f t="shared" si="48"/>
        <v>0</v>
      </c>
    </row>
    <row r="95" spans="1:40" s="141" customFormat="1" ht="86.4" x14ac:dyDescent="0.3">
      <c r="A95" s="141">
        <v>407</v>
      </c>
      <c r="B95" s="141" t="s">
        <v>686</v>
      </c>
      <c r="C95" s="124" t="s">
        <v>687</v>
      </c>
      <c r="D95" s="124">
        <v>3267</v>
      </c>
      <c r="E95" s="142">
        <v>44686</v>
      </c>
      <c r="F95" s="142">
        <v>46387</v>
      </c>
      <c r="G95" s="143">
        <f t="shared" si="52"/>
        <v>1701</v>
      </c>
      <c r="H95" s="144">
        <f>IF(U95="Completed",1,($B$1-E95)/G95)</f>
        <v>0.6243386243386243</v>
      </c>
      <c r="I95" s="163">
        <f>29605675+394325</f>
        <v>30000000</v>
      </c>
      <c r="J95" s="163">
        <v>0</v>
      </c>
      <c r="K95" s="163">
        <v>0</v>
      </c>
      <c r="L95" s="145">
        <f t="shared" si="54"/>
        <v>30000000</v>
      </c>
      <c r="M95" s="163">
        <v>30000000</v>
      </c>
      <c r="N95" s="145">
        <f t="shared" si="55"/>
        <v>0</v>
      </c>
      <c r="O95" s="164">
        <v>30000000</v>
      </c>
      <c r="P95" s="154" t="s">
        <v>688</v>
      </c>
      <c r="Q95" s="124" t="s">
        <v>689</v>
      </c>
      <c r="R95" s="183" t="s">
        <v>690</v>
      </c>
      <c r="S95" s="147" t="s">
        <v>691</v>
      </c>
      <c r="T95" s="124" t="s">
        <v>692</v>
      </c>
      <c r="U95" s="124" t="s">
        <v>300</v>
      </c>
      <c r="V95" s="148">
        <v>30000000</v>
      </c>
      <c r="W95" s="165"/>
      <c r="X95" s="149">
        <f t="shared" si="56"/>
        <v>30000000</v>
      </c>
      <c r="Y95" s="148">
        <v>23890436.219999999</v>
      </c>
      <c r="Z95" s="148">
        <v>254002.6</v>
      </c>
      <c r="AA95" s="150">
        <f t="shared" si="57"/>
        <v>24144438.82</v>
      </c>
      <c r="AB95" s="151">
        <f t="shared" si="58"/>
        <v>0.80481462733333331</v>
      </c>
      <c r="AC95" s="165">
        <v>0</v>
      </c>
      <c r="AD95" s="150">
        <f t="shared" ref="AD95:AD100" si="62">O95+AC95</f>
        <v>30000000</v>
      </c>
      <c r="AE95" s="145">
        <f t="shared" si="60"/>
        <v>0</v>
      </c>
      <c r="AF95" s="152">
        <f t="shared" si="61"/>
        <v>0</v>
      </c>
      <c r="AG95" s="153" t="s">
        <v>118</v>
      </c>
      <c r="AH95" s="124">
        <v>0</v>
      </c>
      <c r="AI95" s="124">
        <v>0</v>
      </c>
      <c r="AJ95" s="124" t="s">
        <v>8</v>
      </c>
      <c r="AK95" s="124" t="s">
        <v>25</v>
      </c>
      <c r="AL95" s="124" t="s">
        <v>685</v>
      </c>
      <c r="AN95" s="145">
        <f t="shared" si="48"/>
        <v>5855561.1799999997</v>
      </c>
    </row>
    <row r="96" spans="1:40" s="141" customFormat="1" ht="115.2" x14ac:dyDescent="0.3">
      <c r="A96" s="141">
        <v>407</v>
      </c>
      <c r="B96" s="141" t="s">
        <v>693</v>
      </c>
      <c r="C96" s="124" t="s">
        <v>694</v>
      </c>
      <c r="D96" s="124">
        <v>3267</v>
      </c>
      <c r="E96" s="142">
        <v>44713</v>
      </c>
      <c r="F96" s="142">
        <v>46387</v>
      </c>
      <c r="G96" s="143">
        <f t="shared" si="52"/>
        <v>1674</v>
      </c>
      <c r="H96" s="144">
        <f t="shared" si="53"/>
        <v>1</v>
      </c>
      <c r="I96" s="163">
        <v>50000000</v>
      </c>
      <c r="J96" s="163">
        <v>0</v>
      </c>
      <c r="K96" s="163">
        <v>0</v>
      </c>
      <c r="L96" s="145">
        <f t="shared" si="54"/>
        <v>50000000</v>
      </c>
      <c r="M96" s="163">
        <v>50000000</v>
      </c>
      <c r="N96" s="145">
        <f t="shared" si="55"/>
        <v>0</v>
      </c>
      <c r="O96" s="164">
        <v>50000000</v>
      </c>
      <c r="P96" s="154" t="s">
        <v>688</v>
      </c>
      <c r="Q96" s="155" t="s">
        <v>695</v>
      </c>
      <c r="R96" s="124" t="s">
        <v>696</v>
      </c>
      <c r="S96" s="124" t="s">
        <v>697</v>
      </c>
      <c r="T96" s="124" t="s">
        <v>189</v>
      </c>
      <c r="U96" s="124" t="s">
        <v>26</v>
      </c>
      <c r="V96" s="148">
        <v>50000000</v>
      </c>
      <c r="W96" s="165"/>
      <c r="X96" s="149">
        <f t="shared" si="56"/>
        <v>50000000</v>
      </c>
      <c r="Y96" s="148">
        <v>49771482.670000002</v>
      </c>
      <c r="Z96" s="148">
        <v>0</v>
      </c>
      <c r="AA96" s="150">
        <f>Y96+Z96</f>
        <v>49771482.670000002</v>
      </c>
      <c r="AB96" s="151">
        <f t="shared" si="58"/>
        <v>0.9954296534</v>
      </c>
      <c r="AC96" s="165">
        <v>0</v>
      </c>
      <c r="AD96" s="150">
        <f t="shared" si="62"/>
        <v>50000000</v>
      </c>
      <c r="AE96" s="145">
        <f t="shared" si="60"/>
        <v>0</v>
      </c>
      <c r="AF96" s="152">
        <f t="shared" si="61"/>
        <v>0</v>
      </c>
      <c r="AG96" s="153" t="s">
        <v>118</v>
      </c>
      <c r="AH96" s="124">
        <v>0</v>
      </c>
      <c r="AI96" s="124">
        <v>0</v>
      </c>
      <c r="AJ96" s="124" t="s">
        <v>15</v>
      </c>
      <c r="AK96" s="124" t="s">
        <v>25</v>
      </c>
      <c r="AL96" s="124" t="s">
        <v>685</v>
      </c>
      <c r="AN96" s="145">
        <f t="shared" si="48"/>
        <v>228517.32999999821</v>
      </c>
    </row>
    <row r="97" spans="1:40" s="141" customFormat="1" ht="132" customHeight="1" x14ac:dyDescent="0.3">
      <c r="A97" s="141">
        <v>407</v>
      </c>
      <c r="B97" s="141" t="s">
        <v>698</v>
      </c>
      <c r="C97" s="124" t="s">
        <v>699</v>
      </c>
      <c r="D97" s="124">
        <v>3228</v>
      </c>
      <c r="E97" s="142">
        <v>44659</v>
      </c>
      <c r="F97" s="142">
        <v>45230</v>
      </c>
      <c r="G97" s="143">
        <f t="shared" si="52"/>
        <v>571</v>
      </c>
      <c r="H97" s="144">
        <f t="shared" si="53"/>
        <v>1</v>
      </c>
      <c r="I97" s="163">
        <v>3960000</v>
      </c>
      <c r="J97" s="163">
        <v>0</v>
      </c>
      <c r="K97" s="163">
        <v>0</v>
      </c>
      <c r="L97" s="145">
        <f t="shared" si="54"/>
        <v>3960000</v>
      </c>
      <c r="M97" s="163">
        <v>3960000</v>
      </c>
      <c r="N97" s="145">
        <f t="shared" si="55"/>
        <v>0</v>
      </c>
      <c r="O97" s="164">
        <v>3960000</v>
      </c>
      <c r="P97" s="154" t="s">
        <v>700</v>
      </c>
      <c r="Q97" s="156" t="s">
        <v>701</v>
      </c>
      <c r="R97" s="124" t="s">
        <v>21</v>
      </c>
      <c r="S97" s="124" t="s">
        <v>21</v>
      </c>
      <c r="T97" s="124" t="s">
        <v>189</v>
      </c>
      <c r="U97" s="124" t="s">
        <v>26</v>
      </c>
      <c r="V97" s="148">
        <v>3960000</v>
      </c>
      <c r="W97" s="165"/>
      <c r="X97" s="149">
        <f t="shared" si="56"/>
        <v>3960000</v>
      </c>
      <c r="Y97" s="148">
        <v>3960000</v>
      </c>
      <c r="Z97" s="148">
        <v>0</v>
      </c>
      <c r="AA97" s="150">
        <f t="shared" si="57"/>
        <v>3960000</v>
      </c>
      <c r="AB97" s="151">
        <f t="shared" si="58"/>
        <v>1</v>
      </c>
      <c r="AC97" s="165">
        <v>0</v>
      </c>
      <c r="AD97" s="150">
        <f t="shared" si="62"/>
        <v>3960000</v>
      </c>
      <c r="AE97" s="145">
        <f t="shared" si="60"/>
        <v>0</v>
      </c>
      <c r="AF97" s="152">
        <f t="shared" si="61"/>
        <v>0</v>
      </c>
      <c r="AG97" s="153" t="s">
        <v>118</v>
      </c>
      <c r="AH97" s="124">
        <v>0</v>
      </c>
      <c r="AI97" s="124">
        <v>0</v>
      </c>
      <c r="AJ97" s="124" t="s">
        <v>15</v>
      </c>
      <c r="AK97" s="124" t="s">
        <v>25</v>
      </c>
      <c r="AL97" s="124" t="s">
        <v>119</v>
      </c>
      <c r="AN97" s="145">
        <f t="shared" si="48"/>
        <v>0</v>
      </c>
    </row>
    <row r="98" spans="1:40" s="141" customFormat="1" ht="100.8" x14ac:dyDescent="0.3">
      <c r="A98" s="141">
        <v>407</v>
      </c>
      <c r="B98" s="141" t="s">
        <v>702</v>
      </c>
      <c r="C98" s="124" t="s">
        <v>703</v>
      </c>
      <c r="D98" s="124">
        <v>3228</v>
      </c>
      <c r="E98" s="142">
        <v>44854</v>
      </c>
      <c r="F98" s="142">
        <v>46387</v>
      </c>
      <c r="G98" s="143">
        <f t="shared" si="52"/>
        <v>1533</v>
      </c>
      <c r="H98" s="144">
        <f t="shared" si="53"/>
        <v>0.58317025440313108</v>
      </c>
      <c r="I98" s="163">
        <v>3112296</v>
      </c>
      <c r="J98" s="163">
        <v>9387704</v>
      </c>
      <c r="K98" s="163">
        <v>0</v>
      </c>
      <c r="L98" s="145">
        <f t="shared" si="54"/>
        <v>12500000</v>
      </c>
      <c r="M98" s="163">
        <v>12500000</v>
      </c>
      <c r="N98" s="145">
        <f t="shared" si="55"/>
        <v>0</v>
      </c>
      <c r="O98" s="164">
        <v>12500000</v>
      </c>
      <c r="P98" s="154" t="s">
        <v>704</v>
      </c>
      <c r="Q98" s="157" t="s">
        <v>705</v>
      </c>
      <c r="R98" s="124" t="s">
        <v>21</v>
      </c>
      <c r="S98" s="124" t="s">
        <v>21</v>
      </c>
      <c r="T98" s="124" t="s">
        <v>706</v>
      </c>
      <c r="U98" s="124" t="s">
        <v>707</v>
      </c>
      <c r="V98" s="148">
        <v>12500000</v>
      </c>
      <c r="W98" s="165"/>
      <c r="X98" s="149">
        <f t="shared" si="56"/>
        <v>12500000</v>
      </c>
      <c r="Y98" s="148">
        <v>6071569.21</v>
      </c>
      <c r="Z98" s="148">
        <v>274764.08</v>
      </c>
      <c r="AA98" s="150">
        <f t="shared" si="57"/>
        <v>6346333.29</v>
      </c>
      <c r="AB98" s="151">
        <f>AA98/SUM(O98:O98)</f>
        <v>0.50770666320000002</v>
      </c>
      <c r="AC98" s="165">
        <v>0</v>
      </c>
      <c r="AD98" s="150">
        <f t="shared" si="62"/>
        <v>12500000</v>
      </c>
      <c r="AE98" s="145">
        <f>M98-AD98</f>
        <v>0</v>
      </c>
      <c r="AF98" s="152">
        <f t="shared" si="61"/>
        <v>0</v>
      </c>
      <c r="AG98" s="153" t="s">
        <v>708</v>
      </c>
      <c r="AH98" s="124">
        <v>0</v>
      </c>
      <c r="AI98" s="124">
        <v>0</v>
      </c>
      <c r="AJ98" s="124" t="s">
        <v>15</v>
      </c>
      <c r="AK98" s="124" t="s">
        <v>25</v>
      </c>
      <c r="AL98" s="124" t="s">
        <v>119</v>
      </c>
      <c r="AN98" s="145">
        <f t="shared" si="48"/>
        <v>6153666.71</v>
      </c>
    </row>
    <row r="99" spans="1:40" s="141" customFormat="1" ht="72" x14ac:dyDescent="0.3">
      <c r="A99" s="141">
        <v>407</v>
      </c>
      <c r="B99" s="141" t="s">
        <v>709</v>
      </c>
      <c r="C99" s="124" t="s">
        <v>710</v>
      </c>
      <c r="D99" s="124">
        <v>3228</v>
      </c>
      <c r="E99" s="142">
        <v>44854</v>
      </c>
      <c r="F99" s="142">
        <v>46387</v>
      </c>
      <c r="G99" s="143">
        <f t="shared" si="52"/>
        <v>1533</v>
      </c>
      <c r="H99" s="144">
        <f t="shared" si="53"/>
        <v>0.58317025440313108</v>
      </c>
      <c r="I99" s="163">
        <v>17309680</v>
      </c>
      <c r="J99" s="163">
        <v>31200648</v>
      </c>
      <c r="K99" s="163">
        <v>0</v>
      </c>
      <c r="L99" s="145">
        <f t="shared" si="54"/>
        <v>48510328</v>
      </c>
      <c r="M99" s="163">
        <v>48510328</v>
      </c>
      <c r="N99" s="145">
        <f t="shared" si="55"/>
        <v>0</v>
      </c>
      <c r="O99" s="164">
        <v>48510328</v>
      </c>
      <c r="P99" s="154" t="s">
        <v>711</v>
      </c>
      <c r="Q99" s="157" t="s">
        <v>712</v>
      </c>
      <c r="R99" s="124" t="s">
        <v>21</v>
      </c>
      <c r="S99" s="124" t="s">
        <v>21</v>
      </c>
      <c r="T99" s="124" t="s">
        <v>713</v>
      </c>
      <c r="U99" s="124" t="s">
        <v>714</v>
      </c>
      <c r="V99" s="148">
        <v>48510328</v>
      </c>
      <c r="W99" s="165"/>
      <c r="X99" s="149">
        <f t="shared" si="56"/>
        <v>48510328</v>
      </c>
      <c r="Y99" s="148">
        <v>17982456.799999997</v>
      </c>
      <c r="Z99" s="148">
        <v>910201.15</v>
      </c>
      <c r="AA99" s="150">
        <f t="shared" si="57"/>
        <v>18892657.949999996</v>
      </c>
      <c r="AB99" s="151">
        <f>AA99/SUM(O99:O99)</f>
        <v>0.38945640503605738</v>
      </c>
      <c r="AC99" s="165">
        <v>0</v>
      </c>
      <c r="AD99" s="150">
        <f t="shared" si="62"/>
        <v>48510328</v>
      </c>
      <c r="AE99" s="145">
        <f t="shared" si="60"/>
        <v>0</v>
      </c>
      <c r="AF99" s="152">
        <f t="shared" si="61"/>
        <v>0</v>
      </c>
      <c r="AG99" s="153" t="s">
        <v>708</v>
      </c>
      <c r="AH99" s="124">
        <v>0</v>
      </c>
      <c r="AI99" s="124">
        <v>0</v>
      </c>
      <c r="AJ99" s="124" t="s">
        <v>15</v>
      </c>
      <c r="AK99" s="124" t="s">
        <v>25</v>
      </c>
      <c r="AL99" s="124" t="s">
        <v>119</v>
      </c>
      <c r="AN99" s="145">
        <f>AD99-AA99</f>
        <v>29617670.050000004</v>
      </c>
    </row>
    <row r="100" spans="1:40" s="141" customFormat="1" ht="129.6" x14ac:dyDescent="0.3">
      <c r="A100" s="141">
        <v>407</v>
      </c>
      <c r="B100" s="141" t="s">
        <v>715</v>
      </c>
      <c r="C100" s="124" t="s">
        <v>716</v>
      </c>
      <c r="D100" s="124">
        <v>3233</v>
      </c>
      <c r="E100" s="142">
        <v>44854</v>
      </c>
      <c r="F100" s="142">
        <v>45584</v>
      </c>
      <c r="G100" s="143">
        <f t="shared" ref="G100" si="63">F100-E100</f>
        <v>730</v>
      </c>
      <c r="H100" s="144">
        <f t="shared" ref="H100" si="64">IF(U100="Completed",1,($B$1-E100)/G100)</f>
        <v>1.2246575342465753</v>
      </c>
      <c r="I100" s="163">
        <v>500000</v>
      </c>
      <c r="J100" s="163">
        <v>0</v>
      </c>
      <c r="K100" s="163">
        <v>0</v>
      </c>
      <c r="L100" s="145">
        <f t="shared" si="54"/>
        <v>500000</v>
      </c>
      <c r="M100" s="163">
        <v>500000</v>
      </c>
      <c r="N100" s="145">
        <f t="shared" si="55"/>
        <v>0</v>
      </c>
      <c r="O100" s="164">
        <v>500000</v>
      </c>
      <c r="P100" s="154" t="s">
        <v>717</v>
      </c>
      <c r="Q100" s="156" t="s">
        <v>718</v>
      </c>
      <c r="R100" s="124" t="s">
        <v>21</v>
      </c>
      <c r="S100" s="124" t="s">
        <v>21</v>
      </c>
      <c r="T100" s="124" t="s">
        <v>719</v>
      </c>
      <c r="U100" s="124" t="s">
        <v>300</v>
      </c>
      <c r="V100" s="148">
        <v>500000</v>
      </c>
      <c r="W100" s="165"/>
      <c r="X100" s="149">
        <f t="shared" ref="X100" si="65">V100+W100</f>
        <v>500000</v>
      </c>
      <c r="Y100" s="148">
        <v>436581.43</v>
      </c>
      <c r="Z100" s="148">
        <v>16075.25</v>
      </c>
      <c r="AA100" s="150">
        <f>Y100+Z100</f>
        <v>452656.68</v>
      </c>
      <c r="AB100" s="151">
        <f t="shared" ref="AB100" si="66">AA100/O100</f>
        <v>0.90531335999999996</v>
      </c>
      <c r="AC100" s="165">
        <v>0</v>
      </c>
      <c r="AD100" s="150">
        <f t="shared" si="62"/>
        <v>500000</v>
      </c>
      <c r="AE100" s="145">
        <f t="shared" si="60"/>
        <v>0</v>
      </c>
      <c r="AF100" s="152">
        <f t="shared" si="61"/>
        <v>0</v>
      </c>
      <c r="AG100" s="153" t="s">
        <v>118</v>
      </c>
      <c r="AH100" s="124">
        <v>0</v>
      </c>
      <c r="AI100" s="124">
        <v>0</v>
      </c>
      <c r="AJ100" s="124" t="s">
        <v>15</v>
      </c>
      <c r="AK100" s="124" t="s">
        <v>25</v>
      </c>
      <c r="AL100" s="124" t="s">
        <v>153</v>
      </c>
      <c r="AN100" s="145">
        <f t="shared" si="48"/>
        <v>47343.320000000007</v>
      </c>
    </row>
    <row r="101" spans="1:40" s="37" customFormat="1" ht="72" x14ac:dyDescent="0.3">
      <c r="A101" s="37">
        <v>409</v>
      </c>
      <c r="B101" s="175" t="s">
        <v>720</v>
      </c>
      <c r="C101" s="35" t="s">
        <v>721</v>
      </c>
      <c r="D101" s="35">
        <v>3142</v>
      </c>
      <c r="E101" s="38">
        <v>44551</v>
      </c>
      <c r="F101" s="38">
        <v>45473</v>
      </c>
      <c r="G101" s="39">
        <f t="shared" ref="G101:G132" si="67">F101-E101</f>
        <v>922</v>
      </c>
      <c r="H101" s="87">
        <f t="shared" ref="H101:H132" si="68">IF(U101="Completed",1,($B$1-E101)/G101)</f>
        <v>1</v>
      </c>
      <c r="I101" s="41">
        <v>1971000</v>
      </c>
      <c r="J101" s="41">
        <v>0</v>
      </c>
      <c r="K101" s="41">
        <v>0</v>
      </c>
      <c r="L101" s="42">
        <f t="shared" ref="L101:L132" si="69">I101+J101+K101</f>
        <v>1971000</v>
      </c>
      <c r="M101" s="41">
        <v>1971000</v>
      </c>
      <c r="N101" s="42">
        <f t="shared" ref="N101:N132" si="70">L101-M101</f>
        <v>0</v>
      </c>
      <c r="O101" s="88">
        <v>1971000</v>
      </c>
      <c r="P101" s="41" t="s">
        <v>722</v>
      </c>
      <c r="Q101" s="35" t="s">
        <v>723</v>
      </c>
      <c r="R101" s="160" t="s">
        <v>724</v>
      </c>
      <c r="S101" s="35" t="s">
        <v>725</v>
      </c>
      <c r="T101" s="37" t="s">
        <v>189</v>
      </c>
      <c r="U101" s="35" t="s">
        <v>26</v>
      </c>
      <c r="V101" s="88">
        <v>1971000</v>
      </c>
      <c r="W101" s="95">
        <v>0</v>
      </c>
      <c r="X101" s="89">
        <f t="shared" ref="X101:X132" si="71">V101+W101</f>
        <v>1971000</v>
      </c>
      <c r="Y101" s="88">
        <v>1971000</v>
      </c>
      <c r="Z101" s="88">
        <v>0</v>
      </c>
      <c r="AA101" s="90">
        <f t="shared" ref="AA101:AA132" si="72">Y101+Z101</f>
        <v>1971000</v>
      </c>
      <c r="AB101" s="91">
        <f t="shared" ref="AB101:AB132" si="73">AA101/O101</f>
        <v>1</v>
      </c>
      <c r="AC101" s="96">
        <v>0</v>
      </c>
      <c r="AD101" s="90">
        <f>O101+AC101</f>
        <v>1971000</v>
      </c>
      <c r="AE101" s="42">
        <f t="shared" ref="AE101:AE132" si="74">M101-AD101</f>
        <v>0</v>
      </c>
      <c r="AF101" s="93">
        <f t="shared" ref="AF101:AF132" si="75">AD101-X101</f>
        <v>0</v>
      </c>
      <c r="AG101" s="45" t="s">
        <v>118</v>
      </c>
      <c r="AH101" s="35">
        <v>65</v>
      </c>
      <c r="AI101" s="35" t="s">
        <v>21</v>
      </c>
      <c r="AJ101" s="35" t="s">
        <v>15</v>
      </c>
      <c r="AK101" s="35" t="s">
        <v>160</v>
      </c>
      <c r="AL101" s="35" t="s">
        <v>161</v>
      </c>
      <c r="AM101" s="37" t="s">
        <v>726</v>
      </c>
      <c r="AN101" s="42">
        <f>AD101-AA101</f>
        <v>0</v>
      </c>
    </row>
    <row r="102" spans="1:40" s="37" customFormat="1" ht="154.5" customHeight="1" x14ac:dyDescent="0.3">
      <c r="A102" s="37">
        <v>409</v>
      </c>
      <c r="B102" s="175" t="s">
        <v>727</v>
      </c>
      <c r="C102" s="174" t="s">
        <v>728</v>
      </c>
      <c r="D102" s="35">
        <v>3646</v>
      </c>
      <c r="E102" s="38">
        <v>44659</v>
      </c>
      <c r="F102" s="38">
        <v>46387</v>
      </c>
      <c r="G102" s="39">
        <f>F102-E102</f>
        <v>1728</v>
      </c>
      <c r="H102" s="87">
        <f t="shared" si="68"/>
        <v>0.63020833333333337</v>
      </c>
      <c r="I102" s="41">
        <v>916718</v>
      </c>
      <c r="J102" s="41">
        <v>0</v>
      </c>
      <c r="K102" s="41">
        <v>0</v>
      </c>
      <c r="L102" s="42">
        <f t="shared" si="69"/>
        <v>916718</v>
      </c>
      <c r="M102" s="41">
        <v>916718</v>
      </c>
      <c r="N102" s="42">
        <f t="shared" si="70"/>
        <v>0</v>
      </c>
      <c r="O102" s="88">
        <v>916718</v>
      </c>
      <c r="P102" s="41" t="s">
        <v>729</v>
      </c>
      <c r="Q102" s="35" t="s">
        <v>730</v>
      </c>
      <c r="R102" s="35" t="s">
        <v>731</v>
      </c>
      <c r="S102" s="35" t="s">
        <v>732</v>
      </c>
      <c r="T102" s="1" t="s">
        <v>733</v>
      </c>
      <c r="U102" s="35" t="s">
        <v>17</v>
      </c>
      <c r="V102" s="88">
        <v>916718</v>
      </c>
      <c r="W102" s="95">
        <v>0</v>
      </c>
      <c r="X102" s="89">
        <f>V102+W102</f>
        <v>916718</v>
      </c>
      <c r="Y102" s="88">
        <v>327190.58999999997</v>
      </c>
      <c r="Z102" s="88">
        <v>1687.05</v>
      </c>
      <c r="AA102" s="90">
        <f t="shared" si="72"/>
        <v>328877.63999999996</v>
      </c>
      <c r="AB102" s="91">
        <f t="shared" si="73"/>
        <v>0.35875551696377728</v>
      </c>
      <c r="AC102" s="96">
        <v>0</v>
      </c>
      <c r="AD102" s="90">
        <f t="shared" ref="AD102:AD132" si="76">O102+AC102</f>
        <v>916718</v>
      </c>
      <c r="AE102" s="42">
        <f t="shared" si="74"/>
        <v>0</v>
      </c>
      <c r="AF102" s="93">
        <f t="shared" si="75"/>
        <v>0</v>
      </c>
      <c r="AG102" s="41" t="s">
        <v>734</v>
      </c>
      <c r="AH102" s="35" t="s">
        <v>21</v>
      </c>
      <c r="AI102" s="35" t="s">
        <v>21</v>
      </c>
      <c r="AJ102" s="35" t="s">
        <v>8</v>
      </c>
      <c r="AK102" s="35" t="s">
        <v>160</v>
      </c>
      <c r="AL102" s="35" t="s">
        <v>119</v>
      </c>
      <c r="AM102" s="37" t="s">
        <v>726</v>
      </c>
      <c r="AN102" s="42">
        <f>AD102-AA102</f>
        <v>587840.3600000001</v>
      </c>
    </row>
    <row r="103" spans="1:40" s="37" customFormat="1" ht="57.6" x14ac:dyDescent="0.3">
      <c r="A103" s="37">
        <v>409</v>
      </c>
      <c r="B103" s="175" t="s">
        <v>735</v>
      </c>
      <c r="C103" s="174" t="s">
        <v>728</v>
      </c>
      <c r="D103" s="35">
        <v>3646</v>
      </c>
      <c r="E103" s="38">
        <v>44781</v>
      </c>
      <c r="F103" s="38">
        <v>45838</v>
      </c>
      <c r="G103" s="39">
        <f t="shared" si="67"/>
        <v>1057</v>
      </c>
      <c r="H103" s="87">
        <f t="shared" si="68"/>
        <v>0.91485335856196781</v>
      </c>
      <c r="I103" s="41">
        <v>5072061</v>
      </c>
      <c r="J103" s="41">
        <v>0</v>
      </c>
      <c r="K103" s="41">
        <v>0</v>
      </c>
      <c r="L103" s="42">
        <f t="shared" si="69"/>
        <v>5072061</v>
      </c>
      <c r="M103" s="41">
        <v>5072061</v>
      </c>
      <c r="N103" s="42">
        <f t="shared" si="70"/>
        <v>0</v>
      </c>
      <c r="O103" s="88">
        <v>5072061</v>
      </c>
      <c r="P103" s="41" t="s">
        <v>736</v>
      </c>
      <c r="Q103" s="35" t="s">
        <v>737</v>
      </c>
      <c r="R103" s="35" t="s">
        <v>634</v>
      </c>
      <c r="S103" s="35" t="s">
        <v>634</v>
      </c>
      <c r="T103" s="161" t="s">
        <v>738</v>
      </c>
      <c r="U103" s="35" t="s">
        <v>17</v>
      </c>
      <c r="V103" s="88">
        <v>4176131.43</v>
      </c>
      <c r="W103" s="95">
        <v>0</v>
      </c>
      <c r="X103" s="89">
        <f t="shared" si="71"/>
        <v>4176131.43</v>
      </c>
      <c r="Y103" s="88">
        <v>1804986.8299999998</v>
      </c>
      <c r="Z103" s="88">
        <v>5308.26</v>
      </c>
      <c r="AA103" s="90">
        <f t="shared" si="72"/>
        <v>1810295.0899999999</v>
      </c>
      <c r="AB103" s="91">
        <f t="shared" si="73"/>
        <v>0.35691508639190261</v>
      </c>
      <c r="AC103" s="96">
        <v>0</v>
      </c>
      <c r="AD103" s="90">
        <f t="shared" si="76"/>
        <v>5072061</v>
      </c>
      <c r="AE103" s="42">
        <f t="shared" si="74"/>
        <v>0</v>
      </c>
      <c r="AF103" s="93">
        <f t="shared" si="75"/>
        <v>895929.56999999983</v>
      </c>
      <c r="AG103" s="41" t="s">
        <v>734</v>
      </c>
      <c r="AH103" s="35" t="s">
        <v>21</v>
      </c>
      <c r="AI103" s="35" t="s">
        <v>21</v>
      </c>
      <c r="AJ103" s="35" t="s">
        <v>8</v>
      </c>
      <c r="AK103" s="35" t="s">
        <v>160</v>
      </c>
      <c r="AL103" s="35" t="s">
        <v>119</v>
      </c>
      <c r="AM103" s="37" t="s">
        <v>726</v>
      </c>
      <c r="AN103" s="42">
        <f t="shared" ref="AN103:AN132" si="77">AD103-AA103</f>
        <v>3261765.91</v>
      </c>
    </row>
    <row r="104" spans="1:40" s="37" customFormat="1" ht="72" x14ac:dyDescent="0.3">
      <c r="A104" s="37">
        <v>409</v>
      </c>
      <c r="B104" s="175" t="s">
        <v>739</v>
      </c>
      <c r="C104" s="35" t="s">
        <v>740</v>
      </c>
      <c r="D104" s="35">
        <v>3281</v>
      </c>
      <c r="E104" s="38">
        <v>44539</v>
      </c>
      <c r="F104" s="38">
        <v>45838</v>
      </c>
      <c r="G104" s="39">
        <f t="shared" si="67"/>
        <v>1299</v>
      </c>
      <c r="H104" s="87">
        <f t="shared" si="68"/>
        <v>1</v>
      </c>
      <c r="I104" s="41">
        <v>275909</v>
      </c>
      <c r="J104" s="41">
        <v>-232558.65</v>
      </c>
      <c r="K104" s="41"/>
      <c r="L104" s="42">
        <f t="shared" si="69"/>
        <v>43350.350000000006</v>
      </c>
      <c r="M104" s="41">
        <v>43350.35</v>
      </c>
      <c r="N104" s="42">
        <f t="shared" si="70"/>
        <v>0</v>
      </c>
      <c r="O104" s="88">
        <v>275909</v>
      </c>
      <c r="P104" s="45" t="s">
        <v>741</v>
      </c>
      <c r="Q104" s="97" t="s">
        <v>742</v>
      </c>
      <c r="R104" s="35" t="s">
        <v>743</v>
      </c>
      <c r="S104" s="35" t="s">
        <v>744</v>
      </c>
      <c r="T104" s="161" t="s">
        <v>745</v>
      </c>
      <c r="U104" s="35" t="s">
        <v>26</v>
      </c>
      <c r="V104" s="88">
        <v>43350.35</v>
      </c>
      <c r="W104" s="95">
        <v>0</v>
      </c>
      <c r="X104" s="89">
        <f t="shared" si="71"/>
        <v>43350.35</v>
      </c>
      <c r="Y104" s="88">
        <v>43350.35</v>
      </c>
      <c r="Z104" s="88">
        <v>0</v>
      </c>
      <c r="AA104" s="90">
        <f t="shared" si="72"/>
        <v>43350.35</v>
      </c>
      <c r="AB104" s="91">
        <f t="shared" si="73"/>
        <v>0.15711828900108368</v>
      </c>
      <c r="AC104" s="98">
        <v>-232558.65</v>
      </c>
      <c r="AD104" s="90">
        <f t="shared" si="76"/>
        <v>43350.350000000006</v>
      </c>
      <c r="AE104" s="42">
        <f t="shared" si="74"/>
        <v>0</v>
      </c>
      <c r="AF104" s="93">
        <f t="shared" si="75"/>
        <v>0</v>
      </c>
      <c r="AG104" s="45" t="s">
        <v>118</v>
      </c>
      <c r="AH104" s="35" t="s">
        <v>21</v>
      </c>
      <c r="AI104" s="35" t="s">
        <v>21</v>
      </c>
      <c r="AJ104" s="35" t="s">
        <v>15</v>
      </c>
      <c r="AK104" s="35" t="s">
        <v>641</v>
      </c>
      <c r="AL104" s="35" t="s">
        <v>161</v>
      </c>
      <c r="AM104" s="37" t="s">
        <v>726</v>
      </c>
      <c r="AN104" s="42">
        <f t="shared" si="77"/>
        <v>0</v>
      </c>
    </row>
    <row r="105" spans="1:40" s="37" customFormat="1" ht="72" x14ac:dyDescent="0.3">
      <c r="A105" s="37">
        <v>409</v>
      </c>
      <c r="B105" s="175" t="s">
        <v>746</v>
      </c>
      <c r="C105" s="35" t="s">
        <v>747</v>
      </c>
      <c r="D105" s="35">
        <v>3646</v>
      </c>
      <c r="E105" s="38">
        <v>44539</v>
      </c>
      <c r="F105" s="38">
        <v>44742</v>
      </c>
      <c r="G105" s="39">
        <f t="shared" si="67"/>
        <v>203</v>
      </c>
      <c r="H105" s="87">
        <f t="shared" si="68"/>
        <v>1</v>
      </c>
      <c r="I105" s="41">
        <v>387386</v>
      </c>
      <c r="J105" s="41">
        <v>-237066.34</v>
      </c>
      <c r="K105" s="41">
        <v>0</v>
      </c>
      <c r="L105" s="42">
        <f t="shared" si="69"/>
        <v>150319.66</v>
      </c>
      <c r="M105" s="41">
        <v>150319.66</v>
      </c>
      <c r="N105" s="42">
        <f t="shared" si="70"/>
        <v>0</v>
      </c>
      <c r="O105" s="88">
        <v>387386</v>
      </c>
      <c r="P105" s="45" t="s">
        <v>748</v>
      </c>
      <c r="Q105" s="97" t="s">
        <v>749</v>
      </c>
      <c r="R105" s="35" t="s">
        <v>743</v>
      </c>
      <c r="S105" s="35" t="s">
        <v>744</v>
      </c>
      <c r="T105" s="161" t="s">
        <v>745</v>
      </c>
      <c r="U105" s="35" t="s">
        <v>26</v>
      </c>
      <c r="V105" s="88">
        <v>150319.66</v>
      </c>
      <c r="W105" s="95">
        <v>0</v>
      </c>
      <c r="X105" s="89">
        <f t="shared" si="71"/>
        <v>150319.66</v>
      </c>
      <c r="Y105" s="88">
        <v>150319.66</v>
      </c>
      <c r="Z105" s="88">
        <v>0</v>
      </c>
      <c r="AA105" s="90">
        <f t="shared" si="72"/>
        <v>150319.66</v>
      </c>
      <c r="AB105" s="91">
        <f t="shared" si="73"/>
        <v>0.38803586087261804</v>
      </c>
      <c r="AC105" s="98">
        <v>-237066.34</v>
      </c>
      <c r="AD105" s="90">
        <f t="shared" si="76"/>
        <v>150319.66</v>
      </c>
      <c r="AE105" s="42">
        <f t="shared" si="74"/>
        <v>0</v>
      </c>
      <c r="AF105" s="93">
        <f t="shared" si="75"/>
        <v>0</v>
      </c>
      <c r="AG105" s="45" t="s">
        <v>118</v>
      </c>
      <c r="AH105" s="35" t="s">
        <v>21</v>
      </c>
      <c r="AI105" s="35" t="s">
        <v>21</v>
      </c>
      <c r="AJ105" s="35" t="s">
        <v>15</v>
      </c>
      <c r="AK105" s="35" t="s">
        <v>160</v>
      </c>
      <c r="AL105" s="35" t="s">
        <v>126</v>
      </c>
      <c r="AM105" s="37" t="s">
        <v>726</v>
      </c>
      <c r="AN105" s="42">
        <f t="shared" si="77"/>
        <v>0</v>
      </c>
    </row>
    <row r="106" spans="1:40" s="37" customFormat="1" ht="72" x14ac:dyDescent="0.3">
      <c r="A106" s="37">
        <v>409</v>
      </c>
      <c r="B106" s="175" t="s">
        <v>750</v>
      </c>
      <c r="C106" s="35" t="s">
        <v>740</v>
      </c>
      <c r="D106" s="35">
        <v>3281</v>
      </c>
      <c r="E106" s="38">
        <v>44743</v>
      </c>
      <c r="F106" s="38">
        <v>45473</v>
      </c>
      <c r="G106" s="39">
        <f t="shared" si="67"/>
        <v>730</v>
      </c>
      <c r="H106" s="87">
        <f t="shared" si="68"/>
        <v>1</v>
      </c>
      <c r="I106" s="41">
        <v>316849</v>
      </c>
      <c r="J106" s="41">
        <v>0</v>
      </c>
      <c r="K106" s="41">
        <v>0</v>
      </c>
      <c r="L106" s="42">
        <f t="shared" si="69"/>
        <v>316849</v>
      </c>
      <c r="M106" s="41">
        <v>316849</v>
      </c>
      <c r="N106" s="42">
        <f t="shared" si="70"/>
        <v>0</v>
      </c>
      <c r="O106" s="88">
        <v>316849</v>
      </c>
      <c r="P106" s="45" t="s">
        <v>751</v>
      </c>
      <c r="Q106" s="97" t="s">
        <v>749</v>
      </c>
      <c r="R106" s="35" t="s">
        <v>743</v>
      </c>
      <c r="S106" s="35" t="s">
        <v>744</v>
      </c>
      <c r="T106" s="161" t="s">
        <v>745</v>
      </c>
      <c r="U106" s="35" t="s">
        <v>26</v>
      </c>
      <c r="V106" s="88">
        <v>316849</v>
      </c>
      <c r="W106" s="95">
        <v>0</v>
      </c>
      <c r="X106" s="89">
        <f t="shared" si="71"/>
        <v>316849</v>
      </c>
      <c r="Y106" s="88">
        <v>316849</v>
      </c>
      <c r="Z106" s="88"/>
      <c r="AA106" s="90">
        <f t="shared" si="72"/>
        <v>316849</v>
      </c>
      <c r="AB106" s="91">
        <f t="shared" si="73"/>
        <v>1</v>
      </c>
      <c r="AC106" s="96"/>
      <c r="AD106" s="90">
        <f t="shared" si="76"/>
        <v>316849</v>
      </c>
      <c r="AE106" s="42">
        <f t="shared" si="74"/>
        <v>0</v>
      </c>
      <c r="AF106" s="93">
        <f t="shared" si="75"/>
        <v>0</v>
      </c>
      <c r="AG106" s="45" t="s">
        <v>118</v>
      </c>
      <c r="AH106" s="35" t="s">
        <v>21</v>
      </c>
      <c r="AI106" s="35" t="s">
        <v>21</v>
      </c>
      <c r="AJ106" s="35" t="s">
        <v>15</v>
      </c>
      <c r="AK106" s="35" t="s">
        <v>641</v>
      </c>
      <c r="AL106" s="35" t="s">
        <v>126</v>
      </c>
      <c r="AM106" s="37" t="s">
        <v>726</v>
      </c>
      <c r="AN106" s="42">
        <f t="shared" si="77"/>
        <v>0</v>
      </c>
    </row>
    <row r="107" spans="1:40" s="37" customFormat="1" ht="72" x14ac:dyDescent="0.3">
      <c r="A107" s="37">
        <v>409</v>
      </c>
      <c r="B107" s="175" t="s">
        <v>752</v>
      </c>
      <c r="C107" s="35" t="s">
        <v>753</v>
      </c>
      <c r="D107" s="35">
        <v>3646</v>
      </c>
      <c r="E107" s="38">
        <v>45108</v>
      </c>
      <c r="F107" s="38">
        <v>45473</v>
      </c>
      <c r="G107" s="39">
        <f t="shared" si="67"/>
        <v>365</v>
      </c>
      <c r="H107" s="87">
        <f t="shared" si="68"/>
        <v>1</v>
      </c>
      <c r="I107" s="41">
        <v>444866</v>
      </c>
      <c r="J107" s="41">
        <v>-3101.92</v>
      </c>
      <c r="K107" s="41">
        <v>0</v>
      </c>
      <c r="L107" s="42">
        <f t="shared" si="69"/>
        <v>441764.08</v>
      </c>
      <c r="M107" s="41">
        <v>441764.08</v>
      </c>
      <c r="N107" s="42">
        <f t="shared" si="70"/>
        <v>0</v>
      </c>
      <c r="O107" s="88">
        <v>444866</v>
      </c>
      <c r="P107" s="45" t="s">
        <v>754</v>
      </c>
      <c r="Q107" s="97" t="s">
        <v>749</v>
      </c>
      <c r="R107" s="35" t="s">
        <v>743</v>
      </c>
      <c r="S107" s="35" t="s">
        <v>744</v>
      </c>
      <c r="T107" s="161" t="s">
        <v>745</v>
      </c>
      <c r="U107" s="35" t="s">
        <v>26</v>
      </c>
      <c r="V107" s="88">
        <v>441764.08</v>
      </c>
      <c r="W107" s="95">
        <v>0</v>
      </c>
      <c r="X107" s="89">
        <f t="shared" si="71"/>
        <v>441764.08</v>
      </c>
      <c r="Y107" s="88">
        <v>441764.08</v>
      </c>
      <c r="Z107" s="88">
        <v>0</v>
      </c>
      <c r="AA107" s="90">
        <f t="shared" si="72"/>
        <v>441764.08</v>
      </c>
      <c r="AB107" s="91">
        <f t="shared" si="73"/>
        <v>0.99302729361200903</v>
      </c>
      <c r="AC107" s="98">
        <v>-3101.92</v>
      </c>
      <c r="AD107" s="90">
        <f t="shared" si="76"/>
        <v>441764.08</v>
      </c>
      <c r="AE107" s="42">
        <f t="shared" si="74"/>
        <v>0</v>
      </c>
      <c r="AF107" s="93">
        <f t="shared" si="75"/>
        <v>0</v>
      </c>
      <c r="AG107" s="45" t="s">
        <v>118</v>
      </c>
      <c r="AH107" s="35" t="s">
        <v>21</v>
      </c>
      <c r="AI107" s="35" t="s">
        <v>21</v>
      </c>
      <c r="AJ107" s="35" t="s">
        <v>15</v>
      </c>
      <c r="AK107" s="35" t="s">
        <v>160</v>
      </c>
      <c r="AL107" s="35" t="s">
        <v>126</v>
      </c>
      <c r="AM107" s="37" t="s">
        <v>726</v>
      </c>
      <c r="AN107" s="42">
        <f t="shared" si="77"/>
        <v>0</v>
      </c>
    </row>
    <row r="108" spans="1:40" s="37" customFormat="1" ht="72" x14ac:dyDescent="0.3">
      <c r="A108" s="37">
        <v>409</v>
      </c>
      <c r="B108" s="175" t="s">
        <v>755</v>
      </c>
      <c r="C108" s="35" t="s">
        <v>756</v>
      </c>
      <c r="D108" s="35">
        <v>3145</v>
      </c>
      <c r="E108" s="38">
        <v>44743</v>
      </c>
      <c r="F108" s="38">
        <v>45473</v>
      </c>
      <c r="G108" s="39">
        <f t="shared" si="67"/>
        <v>730</v>
      </c>
      <c r="H108" s="87">
        <f t="shared" si="68"/>
        <v>1</v>
      </c>
      <c r="I108" s="41">
        <v>100000</v>
      </c>
      <c r="J108" s="41">
        <v>0</v>
      </c>
      <c r="K108" s="41">
        <v>0</v>
      </c>
      <c r="L108" s="42">
        <f t="shared" si="69"/>
        <v>100000</v>
      </c>
      <c r="M108" s="41">
        <v>100000</v>
      </c>
      <c r="N108" s="42">
        <f t="shared" si="70"/>
        <v>0</v>
      </c>
      <c r="O108" s="88">
        <v>100000</v>
      </c>
      <c r="P108" s="45" t="s">
        <v>757</v>
      </c>
      <c r="Q108" s="97" t="s">
        <v>758</v>
      </c>
      <c r="R108" s="35" t="s">
        <v>759</v>
      </c>
      <c r="S108" s="35" t="s">
        <v>21</v>
      </c>
      <c r="T108" s="161" t="s">
        <v>745</v>
      </c>
      <c r="U108" s="35" t="s">
        <v>26</v>
      </c>
      <c r="V108" s="88">
        <v>100000</v>
      </c>
      <c r="W108" s="95">
        <v>0</v>
      </c>
      <c r="X108" s="89">
        <f t="shared" si="71"/>
        <v>100000</v>
      </c>
      <c r="Y108" s="88">
        <v>100000</v>
      </c>
      <c r="Z108" s="88">
        <v>0</v>
      </c>
      <c r="AA108" s="90">
        <f t="shared" si="72"/>
        <v>100000</v>
      </c>
      <c r="AB108" s="91">
        <f t="shared" si="73"/>
        <v>1</v>
      </c>
      <c r="AC108" s="96">
        <v>0</v>
      </c>
      <c r="AD108" s="90">
        <f t="shared" si="76"/>
        <v>100000</v>
      </c>
      <c r="AE108" s="42">
        <f t="shared" si="74"/>
        <v>0</v>
      </c>
      <c r="AF108" s="93">
        <f t="shared" si="75"/>
        <v>0</v>
      </c>
      <c r="AG108" s="45" t="s">
        <v>118</v>
      </c>
      <c r="AH108" s="81">
        <v>1718</v>
      </c>
      <c r="AI108" s="35" t="s">
        <v>21</v>
      </c>
      <c r="AJ108" s="35" t="s">
        <v>15</v>
      </c>
      <c r="AK108" s="35" t="s">
        <v>160</v>
      </c>
      <c r="AL108" s="35" t="s">
        <v>153</v>
      </c>
      <c r="AM108" s="37" t="s">
        <v>726</v>
      </c>
      <c r="AN108" s="42">
        <f t="shared" si="77"/>
        <v>0</v>
      </c>
    </row>
    <row r="109" spans="1:40" s="37" customFormat="1" ht="57.6" x14ac:dyDescent="0.3">
      <c r="A109" s="37">
        <v>409</v>
      </c>
      <c r="B109" s="175" t="s">
        <v>760</v>
      </c>
      <c r="C109" s="35" t="s">
        <v>761</v>
      </c>
      <c r="D109" s="35">
        <v>3145</v>
      </c>
      <c r="E109" s="38">
        <v>44743</v>
      </c>
      <c r="F109" s="38">
        <v>45473</v>
      </c>
      <c r="G109" s="39">
        <f t="shared" si="67"/>
        <v>730</v>
      </c>
      <c r="H109" s="87">
        <f t="shared" si="68"/>
        <v>1</v>
      </c>
      <c r="I109" s="41">
        <v>506428</v>
      </c>
      <c r="J109" s="41">
        <v>0</v>
      </c>
      <c r="K109" s="41">
        <v>0</v>
      </c>
      <c r="L109" s="42">
        <f t="shared" si="69"/>
        <v>506428</v>
      </c>
      <c r="M109" s="41">
        <v>506428</v>
      </c>
      <c r="N109" s="42">
        <f t="shared" si="70"/>
        <v>0</v>
      </c>
      <c r="O109" s="88">
        <v>506428</v>
      </c>
      <c r="P109" s="41" t="s">
        <v>762</v>
      </c>
      <c r="Q109" s="35" t="s">
        <v>763</v>
      </c>
      <c r="R109" s="35" t="s">
        <v>21</v>
      </c>
      <c r="S109" s="35" t="s">
        <v>764</v>
      </c>
      <c r="T109" s="160" t="s">
        <v>745</v>
      </c>
      <c r="U109" s="35" t="s">
        <v>26</v>
      </c>
      <c r="V109" s="88">
        <v>506428</v>
      </c>
      <c r="W109" s="95">
        <v>0</v>
      </c>
      <c r="X109" s="89">
        <f t="shared" si="71"/>
        <v>506428</v>
      </c>
      <c r="Y109" s="88">
        <v>506427.98000000004</v>
      </c>
      <c r="Z109" s="88">
        <v>0</v>
      </c>
      <c r="AA109" s="90">
        <f t="shared" si="72"/>
        <v>506427.98000000004</v>
      </c>
      <c r="AB109" s="91">
        <f t="shared" si="73"/>
        <v>0.99999996050771289</v>
      </c>
      <c r="AC109" s="96">
        <v>0</v>
      </c>
      <c r="AD109" s="90">
        <f t="shared" si="76"/>
        <v>506428</v>
      </c>
      <c r="AE109" s="42">
        <f t="shared" si="74"/>
        <v>0</v>
      </c>
      <c r="AF109" s="93">
        <f t="shared" si="75"/>
        <v>0</v>
      </c>
      <c r="AG109" s="45" t="s">
        <v>118</v>
      </c>
      <c r="AH109" s="81">
        <v>1138</v>
      </c>
      <c r="AI109" s="35" t="s">
        <v>21</v>
      </c>
      <c r="AJ109" s="35" t="s">
        <v>15</v>
      </c>
      <c r="AK109" s="35" t="s">
        <v>160</v>
      </c>
      <c r="AL109" s="35" t="s">
        <v>153</v>
      </c>
      <c r="AM109" s="100" t="s">
        <v>726</v>
      </c>
      <c r="AN109" s="42">
        <f t="shared" si="77"/>
        <v>1.9999999960418791E-2</v>
      </c>
    </row>
    <row r="110" spans="1:40" s="37" customFormat="1" ht="57.6" x14ac:dyDescent="0.3">
      <c r="A110" s="37">
        <v>409</v>
      </c>
      <c r="B110" s="175" t="s">
        <v>765</v>
      </c>
      <c r="C110" s="35" t="s">
        <v>766</v>
      </c>
      <c r="D110" s="35">
        <v>3145</v>
      </c>
      <c r="E110" s="38">
        <v>44743</v>
      </c>
      <c r="F110" s="38">
        <v>45838</v>
      </c>
      <c r="G110" s="39">
        <f t="shared" si="67"/>
        <v>1095</v>
      </c>
      <c r="H110" s="87">
        <f t="shared" si="68"/>
        <v>0.9178082191780822</v>
      </c>
      <c r="I110" s="41">
        <v>1000000</v>
      </c>
      <c r="J110" s="41">
        <v>0</v>
      </c>
      <c r="K110" s="41">
        <v>0</v>
      </c>
      <c r="L110" s="42">
        <f t="shared" si="69"/>
        <v>1000000</v>
      </c>
      <c r="M110" s="41">
        <v>1000000</v>
      </c>
      <c r="N110" s="42">
        <f t="shared" si="70"/>
        <v>0</v>
      </c>
      <c r="O110" s="88">
        <v>1000000</v>
      </c>
      <c r="P110" s="41" t="s">
        <v>767</v>
      </c>
      <c r="Q110" s="35" t="s">
        <v>1097</v>
      </c>
      <c r="R110" s="37" t="s">
        <v>21</v>
      </c>
      <c r="S110" s="35" t="s">
        <v>768</v>
      </c>
      <c r="T110" s="160" t="s">
        <v>769</v>
      </c>
      <c r="U110" s="35" t="s">
        <v>22</v>
      </c>
      <c r="V110" s="88">
        <v>1000000</v>
      </c>
      <c r="W110" s="95">
        <v>0</v>
      </c>
      <c r="X110" s="89">
        <f t="shared" si="71"/>
        <v>1000000</v>
      </c>
      <c r="Y110" s="88">
        <v>592195.30999999994</v>
      </c>
      <c r="Z110" s="88">
        <v>0</v>
      </c>
      <c r="AA110" s="90">
        <f t="shared" si="72"/>
        <v>592195.30999999994</v>
      </c>
      <c r="AB110" s="91">
        <f t="shared" si="73"/>
        <v>0.59219530999999992</v>
      </c>
      <c r="AC110" s="96">
        <v>0</v>
      </c>
      <c r="AD110" s="90">
        <f t="shared" si="76"/>
        <v>1000000</v>
      </c>
      <c r="AE110" s="42">
        <f t="shared" si="74"/>
        <v>0</v>
      </c>
      <c r="AF110" s="93">
        <f t="shared" si="75"/>
        <v>0</v>
      </c>
      <c r="AG110" s="45" t="s">
        <v>118</v>
      </c>
      <c r="AH110" s="81">
        <v>57579</v>
      </c>
      <c r="AI110" s="35" t="s">
        <v>21</v>
      </c>
      <c r="AJ110" s="35" t="s">
        <v>15</v>
      </c>
      <c r="AK110" s="35" t="s">
        <v>25</v>
      </c>
      <c r="AL110" s="35" t="s">
        <v>161</v>
      </c>
      <c r="AM110" s="100" t="s">
        <v>726</v>
      </c>
      <c r="AN110" s="42">
        <f t="shared" si="77"/>
        <v>407804.69000000006</v>
      </c>
    </row>
    <row r="111" spans="1:40" s="37" customFormat="1" ht="57.6" x14ac:dyDescent="0.3">
      <c r="A111" s="37">
        <v>409</v>
      </c>
      <c r="B111" s="175" t="s">
        <v>770</v>
      </c>
      <c r="C111" s="35" t="s">
        <v>771</v>
      </c>
      <c r="D111" s="35">
        <v>3145</v>
      </c>
      <c r="E111" s="38">
        <v>44602</v>
      </c>
      <c r="F111" s="38">
        <v>45657</v>
      </c>
      <c r="G111" s="39">
        <f t="shared" si="67"/>
        <v>1055</v>
      </c>
      <c r="H111" s="87">
        <f t="shared" si="68"/>
        <v>1.086255924170616</v>
      </c>
      <c r="I111" s="41">
        <v>5750000</v>
      </c>
      <c r="J111" s="41">
        <v>0</v>
      </c>
      <c r="K111" s="41">
        <v>0</v>
      </c>
      <c r="L111" s="42">
        <f t="shared" si="69"/>
        <v>5750000</v>
      </c>
      <c r="M111" s="41">
        <v>5750000</v>
      </c>
      <c r="N111" s="42">
        <f t="shared" si="70"/>
        <v>0</v>
      </c>
      <c r="O111" s="88">
        <v>5750000</v>
      </c>
      <c r="P111" s="41" t="s">
        <v>772</v>
      </c>
      <c r="Q111" s="35" t="s">
        <v>773</v>
      </c>
      <c r="R111" s="35" t="s">
        <v>774</v>
      </c>
      <c r="S111" s="35" t="s">
        <v>21</v>
      </c>
      <c r="T111" s="160" t="s">
        <v>775</v>
      </c>
      <c r="U111" s="35" t="s">
        <v>22</v>
      </c>
      <c r="V111" s="88">
        <v>5750000</v>
      </c>
      <c r="W111" s="95">
        <v>0</v>
      </c>
      <c r="X111" s="89">
        <f t="shared" si="71"/>
        <v>5750000</v>
      </c>
      <c r="Y111" s="88">
        <v>5705271.2299999995</v>
      </c>
      <c r="Z111" s="88">
        <v>17200.22</v>
      </c>
      <c r="AA111" s="90">
        <f t="shared" si="72"/>
        <v>5722471.4499999993</v>
      </c>
      <c r="AB111" s="91">
        <f t="shared" si="73"/>
        <v>0.99521242608695637</v>
      </c>
      <c r="AC111" s="96">
        <v>0</v>
      </c>
      <c r="AD111" s="90">
        <f t="shared" si="76"/>
        <v>5750000</v>
      </c>
      <c r="AE111" s="42">
        <f t="shared" si="74"/>
        <v>0</v>
      </c>
      <c r="AF111" s="93">
        <f t="shared" si="75"/>
        <v>0</v>
      </c>
      <c r="AG111" s="45" t="s">
        <v>118</v>
      </c>
      <c r="AH111" s="81">
        <v>12680</v>
      </c>
      <c r="AI111" s="35" t="s">
        <v>21</v>
      </c>
      <c r="AJ111" s="35" t="s">
        <v>15</v>
      </c>
      <c r="AK111" s="35" t="s">
        <v>25</v>
      </c>
      <c r="AL111" s="35" t="s">
        <v>153</v>
      </c>
      <c r="AM111" s="100" t="s">
        <v>726</v>
      </c>
      <c r="AN111" s="42">
        <f t="shared" si="77"/>
        <v>27528.550000000745</v>
      </c>
    </row>
    <row r="112" spans="1:40" s="37" customFormat="1" ht="43.2" x14ac:dyDescent="0.3">
      <c r="A112" s="37">
        <v>409</v>
      </c>
      <c r="B112" s="175" t="s">
        <v>776</v>
      </c>
      <c r="C112" s="35" t="s">
        <v>777</v>
      </c>
      <c r="D112" s="35">
        <v>4895</v>
      </c>
      <c r="E112" s="38">
        <v>44659</v>
      </c>
      <c r="F112" s="38">
        <v>45657</v>
      </c>
      <c r="G112" s="39">
        <f t="shared" si="67"/>
        <v>998</v>
      </c>
      <c r="H112" s="87">
        <f t="shared" si="68"/>
        <v>1</v>
      </c>
      <c r="I112" s="41">
        <v>1560101</v>
      </c>
      <c r="J112" s="41">
        <v>0</v>
      </c>
      <c r="K112" s="41">
        <v>0</v>
      </c>
      <c r="L112" s="42">
        <f t="shared" si="69"/>
        <v>1560101</v>
      </c>
      <c r="M112" s="41">
        <v>1560101</v>
      </c>
      <c r="N112" s="42">
        <f t="shared" si="70"/>
        <v>0</v>
      </c>
      <c r="O112" s="88">
        <v>1560101</v>
      </c>
      <c r="P112" s="45" t="s">
        <v>778</v>
      </c>
      <c r="Q112" s="35" t="s">
        <v>779</v>
      </c>
      <c r="R112" s="35" t="s">
        <v>774</v>
      </c>
      <c r="S112" s="35" t="s">
        <v>21</v>
      </c>
      <c r="T112" s="160" t="s">
        <v>745</v>
      </c>
      <c r="U112" s="35" t="s">
        <v>26</v>
      </c>
      <c r="V112" s="88">
        <v>1560101</v>
      </c>
      <c r="W112" s="95">
        <v>0</v>
      </c>
      <c r="X112" s="89">
        <f t="shared" si="71"/>
        <v>1560101</v>
      </c>
      <c r="Y112" s="88">
        <v>1560101</v>
      </c>
      <c r="Z112" s="88">
        <v>0</v>
      </c>
      <c r="AA112" s="90">
        <f t="shared" si="72"/>
        <v>1560101</v>
      </c>
      <c r="AB112" s="91">
        <f t="shared" si="73"/>
        <v>1</v>
      </c>
      <c r="AC112" s="96"/>
      <c r="AD112" s="90">
        <f t="shared" si="76"/>
        <v>1560101</v>
      </c>
      <c r="AE112" s="42">
        <f t="shared" si="74"/>
        <v>0</v>
      </c>
      <c r="AF112" s="93">
        <f t="shared" si="75"/>
        <v>0</v>
      </c>
      <c r="AG112" s="45" t="s">
        <v>118</v>
      </c>
      <c r="AH112" s="35">
        <v>514</v>
      </c>
      <c r="AI112" s="35" t="s">
        <v>21</v>
      </c>
      <c r="AJ112" s="35" t="s">
        <v>15</v>
      </c>
      <c r="AK112" s="35" t="s">
        <v>25</v>
      </c>
      <c r="AL112" s="35" t="s">
        <v>153</v>
      </c>
      <c r="AM112" s="101" t="s">
        <v>726</v>
      </c>
      <c r="AN112" s="42">
        <f t="shared" si="77"/>
        <v>0</v>
      </c>
    </row>
    <row r="113" spans="1:41" s="37" customFormat="1" ht="72" x14ac:dyDescent="0.3">
      <c r="A113" s="37">
        <v>409</v>
      </c>
      <c r="B113" s="175" t="s">
        <v>780</v>
      </c>
      <c r="C113" s="35" t="s">
        <v>781</v>
      </c>
      <c r="D113" s="35">
        <v>3145</v>
      </c>
      <c r="E113" s="38">
        <v>44769</v>
      </c>
      <c r="F113" s="38">
        <v>45930</v>
      </c>
      <c r="G113" s="39">
        <f t="shared" si="67"/>
        <v>1161</v>
      </c>
      <c r="H113" s="87">
        <f t="shared" si="68"/>
        <v>0.84323858742463398</v>
      </c>
      <c r="I113" s="41">
        <v>250144</v>
      </c>
      <c r="J113" s="41">
        <v>0</v>
      </c>
      <c r="K113" s="41"/>
      <c r="L113" s="42">
        <f t="shared" si="69"/>
        <v>250144</v>
      </c>
      <c r="M113" s="41">
        <v>250144</v>
      </c>
      <c r="N113" s="42">
        <f t="shared" si="70"/>
        <v>0</v>
      </c>
      <c r="O113" s="88">
        <v>250144</v>
      </c>
      <c r="P113" s="41" t="s">
        <v>782</v>
      </c>
      <c r="Q113" s="35" t="s">
        <v>783</v>
      </c>
      <c r="R113" s="35" t="s">
        <v>784</v>
      </c>
      <c r="S113" s="35" t="s">
        <v>785</v>
      </c>
      <c r="T113" s="160" t="s">
        <v>786</v>
      </c>
      <c r="U113" s="35" t="s">
        <v>17</v>
      </c>
      <c r="V113" s="88">
        <v>250144</v>
      </c>
      <c r="W113" s="95">
        <v>0</v>
      </c>
      <c r="X113" s="89">
        <f t="shared" si="71"/>
        <v>250144</v>
      </c>
      <c r="Y113" s="88">
        <v>137445.97</v>
      </c>
      <c r="Z113" s="88">
        <v>8234.27</v>
      </c>
      <c r="AA113" s="90">
        <f t="shared" si="72"/>
        <v>145680.24</v>
      </c>
      <c r="AB113" s="91">
        <f t="shared" si="73"/>
        <v>0.58238550594857363</v>
      </c>
      <c r="AC113" s="96">
        <v>0</v>
      </c>
      <c r="AD113" s="90">
        <f t="shared" si="76"/>
        <v>250144</v>
      </c>
      <c r="AE113" s="42">
        <f t="shared" si="74"/>
        <v>0</v>
      </c>
      <c r="AF113" s="93">
        <f t="shared" si="75"/>
        <v>0</v>
      </c>
      <c r="AG113" s="45" t="s">
        <v>118</v>
      </c>
      <c r="AH113" s="81">
        <v>7935</v>
      </c>
      <c r="AI113" s="35" t="s">
        <v>21</v>
      </c>
      <c r="AJ113" s="35" t="s">
        <v>15</v>
      </c>
      <c r="AK113" s="35" t="s">
        <v>20</v>
      </c>
      <c r="AL113" s="35" t="s">
        <v>161</v>
      </c>
      <c r="AM113" s="101" t="s">
        <v>726</v>
      </c>
      <c r="AN113" s="42">
        <f t="shared" si="77"/>
        <v>104463.76000000001</v>
      </c>
    </row>
    <row r="114" spans="1:41" s="37" customFormat="1" ht="100.8" x14ac:dyDescent="0.3">
      <c r="A114" s="37">
        <v>409</v>
      </c>
      <c r="B114" s="175" t="s">
        <v>787</v>
      </c>
      <c r="C114" s="35" t="s">
        <v>788</v>
      </c>
      <c r="D114" s="35">
        <v>3145</v>
      </c>
      <c r="E114" s="38">
        <v>44854</v>
      </c>
      <c r="F114" s="38">
        <v>45657</v>
      </c>
      <c r="G114" s="39">
        <f t="shared" si="67"/>
        <v>803</v>
      </c>
      <c r="H114" s="87">
        <f t="shared" si="68"/>
        <v>1.1133250311332503</v>
      </c>
      <c r="I114" s="41">
        <v>2600000</v>
      </c>
      <c r="J114" s="41">
        <v>0</v>
      </c>
      <c r="K114" s="41">
        <v>0</v>
      </c>
      <c r="L114" s="42">
        <f t="shared" si="69"/>
        <v>2600000</v>
      </c>
      <c r="M114" s="41">
        <v>2600000</v>
      </c>
      <c r="N114" s="42">
        <f t="shared" si="70"/>
        <v>0</v>
      </c>
      <c r="O114" s="88">
        <v>2600000</v>
      </c>
      <c r="P114" s="41" t="s">
        <v>789</v>
      </c>
      <c r="Q114" s="35" t="s">
        <v>790</v>
      </c>
      <c r="R114" s="35" t="s">
        <v>791</v>
      </c>
      <c r="S114" s="35" t="s">
        <v>792</v>
      </c>
      <c r="T114" s="160" t="s">
        <v>793</v>
      </c>
      <c r="U114" s="35" t="s">
        <v>22</v>
      </c>
      <c r="V114" s="88">
        <v>2600000</v>
      </c>
      <c r="W114" s="95">
        <v>0</v>
      </c>
      <c r="X114" s="89">
        <f t="shared" si="71"/>
        <v>2600000</v>
      </c>
      <c r="Y114" s="88">
        <v>2425281.8499999996</v>
      </c>
      <c r="Z114" s="88">
        <v>0</v>
      </c>
      <c r="AA114" s="90">
        <f t="shared" si="72"/>
        <v>2425281.8499999996</v>
      </c>
      <c r="AB114" s="91">
        <f t="shared" si="73"/>
        <v>0.93280071153846145</v>
      </c>
      <c r="AC114" s="96">
        <v>0</v>
      </c>
      <c r="AD114" s="90">
        <f t="shared" si="76"/>
        <v>2600000</v>
      </c>
      <c r="AE114" s="42">
        <f t="shared" si="74"/>
        <v>0</v>
      </c>
      <c r="AF114" s="93">
        <f t="shared" si="75"/>
        <v>0</v>
      </c>
      <c r="AG114" s="45" t="s">
        <v>118</v>
      </c>
      <c r="AH114" s="81">
        <v>5012</v>
      </c>
      <c r="AI114" s="35" t="s">
        <v>21</v>
      </c>
      <c r="AJ114" s="35" t="s">
        <v>15</v>
      </c>
      <c r="AK114" s="35" t="s">
        <v>25</v>
      </c>
      <c r="AL114" s="35" t="s">
        <v>161</v>
      </c>
      <c r="AM114" s="101" t="s">
        <v>726</v>
      </c>
      <c r="AN114" s="42">
        <f t="shared" si="77"/>
        <v>174718.15000000037</v>
      </c>
    </row>
    <row r="115" spans="1:41" s="37" customFormat="1" ht="129.6" x14ac:dyDescent="0.3">
      <c r="A115" s="37">
        <v>409</v>
      </c>
      <c r="B115" s="175" t="s">
        <v>794</v>
      </c>
      <c r="C115" s="35" t="s">
        <v>795</v>
      </c>
      <c r="D115" s="35">
        <v>3145</v>
      </c>
      <c r="E115" s="38">
        <v>44854</v>
      </c>
      <c r="F115" s="38">
        <v>45838</v>
      </c>
      <c r="G115" s="39">
        <f t="shared" si="67"/>
        <v>984</v>
      </c>
      <c r="H115" s="87">
        <f t="shared" si="68"/>
        <v>0.90853658536585369</v>
      </c>
      <c r="I115" s="41">
        <v>409400</v>
      </c>
      <c r="J115" s="41">
        <v>-11463</v>
      </c>
      <c r="K115" s="41">
        <v>0</v>
      </c>
      <c r="L115" s="42">
        <f t="shared" si="69"/>
        <v>397937</v>
      </c>
      <c r="M115" s="41">
        <v>397937</v>
      </c>
      <c r="N115" s="42">
        <f t="shared" si="70"/>
        <v>0</v>
      </c>
      <c r="O115" s="88">
        <v>409400</v>
      </c>
      <c r="P115" s="41" t="s">
        <v>796</v>
      </c>
      <c r="Q115" s="35" t="s">
        <v>797</v>
      </c>
      <c r="R115" s="35" t="s">
        <v>798</v>
      </c>
      <c r="S115" s="35" t="s">
        <v>21</v>
      </c>
      <c r="T115" s="160" t="s">
        <v>799</v>
      </c>
      <c r="U115" s="35" t="s">
        <v>22</v>
      </c>
      <c r="V115" s="88">
        <v>397937</v>
      </c>
      <c r="W115" s="95">
        <v>0</v>
      </c>
      <c r="X115" s="89">
        <f t="shared" si="71"/>
        <v>397937</v>
      </c>
      <c r="Y115" s="88">
        <v>278763.66000000003</v>
      </c>
      <c r="Z115" s="88">
        <v>0</v>
      </c>
      <c r="AA115" s="90">
        <f t="shared" si="72"/>
        <v>278763.66000000003</v>
      </c>
      <c r="AB115" s="91">
        <f t="shared" si="73"/>
        <v>0.68090781631656094</v>
      </c>
      <c r="AC115" s="96">
        <v>-11463</v>
      </c>
      <c r="AD115" s="90">
        <f t="shared" si="76"/>
        <v>397937</v>
      </c>
      <c r="AE115" s="42">
        <f t="shared" si="74"/>
        <v>0</v>
      </c>
      <c r="AF115" s="93">
        <f t="shared" si="75"/>
        <v>0</v>
      </c>
      <c r="AG115" s="45" t="s">
        <v>118</v>
      </c>
      <c r="AH115" s="35" t="s">
        <v>21</v>
      </c>
      <c r="AI115" s="35" t="s">
        <v>21</v>
      </c>
      <c r="AJ115" s="35" t="s">
        <v>15</v>
      </c>
      <c r="AK115" s="35" t="s">
        <v>25</v>
      </c>
      <c r="AL115" s="35" t="s">
        <v>126</v>
      </c>
      <c r="AM115" s="101" t="s">
        <v>726</v>
      </c>
      <c r="AN115" s="42">
        <f t="shared" si="77"/>
        <v>119173.33999999997</v>
      </c>
    </row>
    <row r="116" spans="1:41" s="37" customFormat="1" ht="57.6" x14ac:dyDescent="0.3">
      <c r="A116" s="37">
        <v>409</v>
      </c>
      <c r="B116" s="175" t="s">
        <v>800</v>
      </c>
      <c r="C116" s="35" t="s">
        <v>801</v>
      </c>
      <c r="D116" s="35">
        <v>3147</v>
      </c>
      <c r="E116" s="38">
        <v>44791</v>
      </c>
      <c r="F116" s="38">
        <v>45838</v>
      </c>
      <c r="G116" s="39">
        <f t="shared" si="67"/>
        <v>1047</v>
      </c>
      <c r="H116" s="87">
        <f t="shared" si="68"/>
        <v>0.91404011461318047</v>
      </c>
      <c r="I116" s="41">
        <v>686994</v>
      </c>
      <c r="J116" s="41">
        <v>0</v>
      </c>
      <c r="K116" s="41">
        <v>0</v>
      </c>
      <c r="L116" s="42">
        <f t="shared" si="69"/>
        <v>686994</v>
      </c>
      <c r="M116" s="41">
        <v>686994</v>
      </c>
      <c r="N116" s="42">
        <f t="shared" si="70"/>
        <v>0</v>
      </c>
      <c r="O116" s="88">
        <v>686994</v>
      </c>
      <c r="P116" s="41" t="s">
        <v>802</v>
      </c>
      <c r="Q116" s="35" t="s">
        <v>1098</v>
      </c>
      <c r="R116" s="35" t="s">
        <v>803</v>
      </c>
      <c r="S116" s="35" t="s">
        <v>21</v>
      </c>
      <c r="T116" s="160" t="s">
        <v>793</v>
      </c>
      <c r="U116" s="35" t="s">
        <v>22</v>
      </c>
      <c r="V116" s="88">
        <v>686994</v>
      </c>
      <c r="W116" s="95">
        <v>0</v>
      </c>
      <c r="X116" s="89">
        <f t="shared" si="71"/>
        <v>686994</v>
      </c>
      <c r="Y116" s="88">
        <v>459180.18</v>
      </c>
      <c r="Z116" s="88">
        <v>86569.96</v>
      </c>
      <c r="AA116" s="90">
        <f t="shared" si="72"/>
        <v>545750.14</v>
      </c>
      <c r="AB116" s="91">
        <f t="shared" si="73"/>
        <v>0.79440306611120337</v>
      </c>
      <c r="AC116" s="96">
        <v>0</v>
      </c>
      <c r="AD116" s="90">
        <f t="shared" si="76"/>
        <v>686994</v>
      </c>
      <c r="AE116" s="42">
        <f t="shared" si="74"/>
        <v>0</v>
      </c>
      <c r="AF116" s="93">
        <f t="shared" si="75"/>
        <v>0</v>
      </c>
      <c r="AG116" s="45" t="s">
        <v>118</v>
      </c>
      <c r="AH116" s="35">
        <v>71</v>
      </c>
      <c r="AI116" s="35" t="s">
        <v>21</v>
      </c>
      <c r="AJ116" s="35" t="s">
        <v>15</v>
      </c>
      <c r="AK116" s="35" t="s">
        <v>20</v>
      </c>
      <c r="AL116" s="35" t="s">
        <v>161</v>
      </c>
      <c r="AM116" s="37" t="s">
        <v>726</v>
      </c>
      <c r="AN116" s="42">
        <f t="shared" si="77"/>
        <v>141243.85999999999</v>
      </c>
    </row>
    <row r="117" spans="1:41" s="37" customFormat="1" ht="57.6" x14ac:dyDescent="0.3">
      <c r="A117" s="37">
        <v>409</v>
      </c>
      <c r="B117" s="175" t="s">
        <v>804</v>
      </c>
      <c r="C117" s="35" t="s">
        <v>805</v>
      </c>
      <c r="D117" s="35">
        <v>3145</v>
      </c>
      <c r="E117" s="38">
        <v>44791</v>
      </c>
      <c r="F117" s="38">
        <v>46203</v>
      </c>
      <c r="G117" s="39">
        <f t="shared" si="67"/>
        <v>1412</v>
      </c>
      <c r="H117" s="87">
        <f t="shared" si="68"/>
        <v>0.67776203966005666</v>
      </c>
      <c r="I117" s="41">
        <v>4198804</v>
      </c>
      <c r="J117" s="41">
        <v>0</v>
      </c>
      <c r="K117" s="41">
        <v>0</v>
      </c>
      <c r="L117" s="42">
        <f t="shared" si="69"/>
        <v>4198804</v>
      </c>
      <c r="M117" s="41">
        <v>4198804</v>
      </c>
      <c r="N117" s="42">
        <f t="shared" si="70"/>
        <v>0</v>
      </c>
      <c r="O117" s="88">
        <v>4198804</v>
      </c>
      <c r="P117" s="41" t="s">
        <v>806</v>
      </c>
      <c r="Q117" s="35" t="s">
        <v>807</v>
      </c>
      <c r="R117" s="35" t="s">
        <v>808</v>
      </c>
      <c r="S117" s="35" t="s">
        <v>21</v>
      </c>
      <c r="T117" s="160" t="s">
        <v>809</v>
      </c>
      <c r="U117" s="35" t="s">
        <v>17</v>
      </c>
      <c r="V117" s="88">
        <v>4198804</v>
      </c>
      <c r="W117" s="95">
        <v>0</v>
      </c>
      <c r="X117" s="89">
        <f t="shared" si="71"/>
        <v>4198804</v>
      </c>
      <c r="Y117" s="88">
        <v>784809.54</v>
      </c>
      <c r="Z117" s="88">
        <v>0</v>
      </c>
      <c r="AA117" s="90">
        <f t="shared" si="72"/>
        <v>784809.54</v>
      </c>
      <c r="AB117" s="91">
        <f t="shared" si="73"/>
        <v>0.18691263988507203</v>
      </c>
      <c r="AC117" s="96">
        <v>0</v>
      </c>
      <c r="AD117" s="90">
        <f t="shared" si="76"/>
        <v>4198804</v>
      </c>
      <c r="AE117" s="42">
        <f t="shared" si="74"/>
        <v>0</v>
      </c>
      <c r="AF117" s="93">
        <f t="shared" si="75"/>
        <v>0</v>
      </c>
      <c r="AG117" s="45" t="s">
        <v>118</v>
      </c>
      <c r="AH117" s="35">
        <v>0</v>
      </c>
      <c r="AI117" s="35" t="s">
        <v>21</v>
      </c>
      <c r="AJ117" s="35" t="s">
        <v>15</v>
      </c>
      <c r="AK117" s="35" t="s">
        <v>160</v>
      </c>
      <c r="AL117" s="35" t="s">
        <v>161</v>
      </c>
      <c r="AM117" s="35" t="s">
        <v>726</v>
      </c>
      <c r="AN117" s="42">
        <f t="shared" si="77"/>
        <v>3413994.46</v>
      </c>
    </row>
    <row r="118" spans="1:41" s="37" customFormat="1" ht="201.6" x14ac:dyDescent="0.3">
      <c r="A118" s="37">
        <v>409</v>
      </c>
      <c r="B118" s="175" t="s">
        <v>810</v>
      </c>
      <c r="C118" s="35" t="s">
        <v>811</v>
      </c>
      <c r="D118" s="35">
        <v>3145</v>
      </c>
      <c r="E118" s="38">
        <v>44854</v>
      </c>
      <c r="F118" s="38">
        <v>45657</v>
      </c>
      <c r="G118" s="39">
        <f t="shared" si="67"/>
        <v>803</v>
      </c>
      <c r="H118" s="87">
        <f t="shared" si="68"/>
        <v>1.1133250311332503</v>
      </c>
      <c r="I118" s="41">
        <v>535600</v>
      </c>
      <c r="J118" s="41">
        <v>0</v>
      </c>
      <c r="K118" s="41">
        <v>0</v>
      </c>
      <c r="L118" s="42">
        <f t="shared" si="69"/>
        <v>535600</v>
      </c>
      <c r="M118" s="41">
        <v>535600</v>
      </c>
      <c r="N118" s="42">
        <f t="shared" si="70"/>
        <v>0</v>
      </c>
      <c r="O118" s="88">
        <v>535600</v>
      </c>
      <c r="P118" s="41" t="s">
        <v>812</v>
      </c>
      <c r="Q118" s="35" t="s">
        <v>813</v>
      </c>
      <c r="R118" s="35" t="s">
        <v>814</v>
      </c>
      <c r="S118" s="35" t="s">
        <v>21</v>
      </c>
      <c r="T118" s="160" t="s">
        <v>815</v>
      </c>
      <c r="U118" s="35" t="s">
        <v>22</v>
      </c>
      <c r="V118" s="88">
        <v>535600</v>
      </c>
      <c r="W118" s="95">
        <v>0</v>
      </c>
      <c r="X118" s="89">
        <f t="shared" si="71"/>
        <v>535600</v>
      </c>
      <c r="Y118" s="88">
        <v>358215.2</v>
      </c>
      <c r="Z118" s="88">
        <v>0</v>
      </c>
      <c r="AA118" s="90">
        <f t="shared" si="72"/>
        <v>358215.2</v>
      </c>
      <c r="AB118" s="91">
        <f t="shared" si="73"/>
        <v>0.66881105302464527</v>
      </c>
      <c r="AC118" s="96">
        <v>0</v>
      </c>
      <c r="AD118" s="90">
        <f t="shared" si="76"/>
        <v>535600</v>
      </c>
      <c r="AE118" s="42">
        <f t="shared" si="74"/>
        <v>0</v>
      </c>
      <c r="AF118" s="93">
        <f t="shared" si="75"/>
        <v>0</v>
      </c>
      <c r="AG118" s="45" t="s">
        <v>118</v>
      </c>
      <c r="AH118" s="35">
        <v>0</v>
      </c>
      <c r="AI118" s="35" t="s">
        <v>21</v>
      </c>
      <c r="AJ118" s="35" t="s">
        <v>15</v>
      </c>
      <c r="AK118" s="35" t="s">
        <v>160</v>
      </c>
      <c r="AL118" s="35" t="s">
        <v>161</v>
      </c>
      <c r="AM118" s="35" t="s">
        <v>726</v>
      </c>
      <c r="AN118" s="42">
        <f t="shared" si="77"/>
        <v>177384.8</v>
      </c>
    </row>
    <row r="119" spans="1:41" s="37" customFormat="1" ht="72" x14ac:dyDescent="0.3">
      <c r="A119" s="37">
        <v>409</v>
      </c>
      <c r="B119" s="175" t="s">
        <v>816</v>
      </c>
      <c r="C119" s="35" t="s">
        <v>817</v>
      </c>
      <c r="D119" s="35">
        <v>3281</v>
      </c>
      <c r="E119" s="38">
        <v>44854</v>
      </c>
      <c r="F119" s="38">
        <v>45838</v>
      </c>
      <c r="G119" s="39">
        <f t="shared" si="67"/>
        <v>984</v>
      </c>
      <c r="H119" s="87">
        <f t="shared" si="68"/>
        <v>0.90853658536585369</v>
      </c>
      <c r="I119" s="41">
        <v>593014</v>
      </c>
      <c r="J119" s="41">
        <v>-255308</v>
      </c>
      <c r="K119" s="41"/>
      <c r="L119" s="42">
        <f t="shared" si="69"/>
        <v>337706</v>
      </c>
      <c r="M119" s="41">
        <f>12706+325000</f>
        <v>337706</v>
      </c>
      <c r="N119" s="42">
        <f t="shared" si="70"/>
        <v>0</v>
      </c>
      <c r="O119" s="88">
        <v>593014</v>
      </c>
      <c r="P119" s="45" t="s">
        <v>818</v>
      </c>
      <c r="Q119" s="35" t="s">
        <v>819</v>
      </c>
      <c r="R119" s="35" t="s">
        <v>820</v>
      </c>
      <c r="S119" s="35" t="s">
        <v>21</v>
      </c>
      <c r="T119" s="160" t="s">
        <v>821</v>
      </c>
      <c r="U119" s="35" t="s">
        <v>22</v>
      </c>
      <c r="V119" s="88">
        <v>337706</v>
      </c>
      <c r="W119" s="95">
        <v>0</v>
      </c>
      <c r="X119" s="89">
        <f t="shared" si="71"/>
        <v>337706</v>
      </c>
      <c r="Y119" s="88">
        <v>12705.58</v>
      </c>
      <c r="Z119" s="88">
        <v>0</v>
      </c>
      <c r="AA119" s="90">
        <f t="shared" si="72"/>
        <v>12705.58</v>
      </c>
      <c r="AB119" s="91">
        <f t="shared" si="73"/>
        <v>2.1425430091026518E-2</v>
      </c>
      <c r="AC119" s="41">
        <v>-255308</v>
      </c>
      <c r="AD119" s="90">
        <f t="shared" si="76"/>
        <v>337706</v>
      </c>
      <c r="AE119" s="42">
        <f t="shared" si="74"/>
        <v>0</v>
      </c>
      <c r="AF119" s="93">
        <f t="shared" si="75"/>
        <v>0</v>
      </c>
      <c r="AG119" s="41" t="s">
        <v>822</v>
      </c>
      <c r="AH119" s="35" t="s">
        <v>21</v>
      </c>
      <c r="AI119" s="35" t="s">
        <v>21</v>
      </c>
      <c r="AJ119" s="35" t="s">
        <v>15</v>
      </c>
      <c r="AK119" s="35" t="s">
        <v>641</v>
      </c>
      <c r="AL119" s="35" t="s">
        <v>161</v>
      </c>
      <c r="AM119" s="35" t="s">
        <v>823</v>
      </c>
      <c r="AN119" s="42">
        <f t="shared" si="77"/>
        <v>325000.42</v>
      </c>
    </row>
    <row r="120" spans="1:41" s="37" customFormat="1" ht="158.4" x14ac:dyDescent="0.3">
      <c r="A120" s="37">
        <v>409</v>
      </c>
      <c r="B120" s="175" t="s">
        <v>824</v>
      </c>
      <c r="C120" s="35" t="s">
        <v>825</v>
      </c>
      <c r="D120" s="35">
        <v>3281</v>
      </c>
      <c r="E120" s="38">
        <v>45108</v>
      </c>
      <c r="F120" s="38">
        <v>45838</v>
      </c>
      <c r="G120" s="39">
        <f t="shared" si="67"/>
        <v>730</v>
      </c>
      <c r="H120" s="87">
        <f t="shared" si="68"/>
        <v>0.87671232876712324</v>
      </c>
      <c r="I120" s="41">
        <v>923073</v>
      </c>
      <c r="J120" s="41">
        <v>-733715</v>
      </c>
      <c r="K120" s="41"/>
      <c r="L120" s="42">
        <f t="shared" si="69"/>
        <v>189358</v>
      </c>
      <c r="M120" s="41">
        <v>189358</v>
      </c>
      <c r="N120" s="42">
        <f t="shared" si="70"/>
        <v>0</v>
      </c>
      <c r="O120" s="88">
        <v>923073</v>
      </c>
      <c r="P120" s="41" t="s">
        <v>826</v>
      </c>
      <c r="Q120" s="35" t="s">
        <v>634</v>
      </c>
      <c r="R120" s="35" t="s">
        <v>827</v>
      </c>
      <c r="S120" s="35" t="s">
        <v>21</v>
      </c>
      <c r="T120" s="160" t="s">
        <v>828</v>
      </c>
      <c r="U120" s="35" t="s">
        <v>22</v>
      </c>
      <c r="V120" s="88">
        <v>189358</v>
      </c>
      <c r="W120" s="95">
        <v>0</v>
      </c>
      <c r="X120" s="89">
        <f t="shared" si="71"/>
        <v>189358</v>
      </c>
      <c r="Y120" s="88">
        <v>166862.41999999998</v>
      </c>
      <c r="Z120" s="88">
        <v>0</v>
      </c>
      <c r="AA120" s="90">
        <f t="shared" si="72"/>
        <v>166862.41999999998</v>
      </c>
      <c r="AB120" s="91">
        <f t="shared" si="73"/>
        <v>0.18076838993232386</v>
      </c>
      <c r="AC120" s="41">
        <v>-733715</v>
      </c>
      <c r="AD120" s="90">
        <f t="shared" si="76"/>
        <v>189358</v>
      </c>
      <c r="AE120" s="42">
        <f t="shared" si="74"/>
        <v>0</v>
      </c>
      <c r="AF120" s="93">
        <f t="shared" si="75"/>
        <v>0</v>
      </c>
      <c r="AG120" s="41" t="s">
        <v>822</v>
      </c>
      <c r="AH120" s="35" t="s">
        <v>21</v>
      </c>
      <c r="AI120" s="35" t="s">
        <v>21</v>
      </c>
      <c r="AJ120" s="35" t="s">
        <v>15</v>
      </c>
      <c r="AK120" s="35" t="s">
        <v>641</v>
      </c>
      <c r="AL120" s="35" t="s">
        <v>161</v>
      </c>
      <c r="AM120" s="35" t="s">
        <v>829</v>
      </c>
      <c r="AN120" s="42">
        <f t="shared" si="77"/>
        <v>22495.580000000016</v>
      </c>
      <c r="AO120" s="48">
        <f>+AN120+AN119</f>
        <v>347496</v>
      </c>
    </row>
    <row r="121" spans="1:41" s="37" customFormat="1" ht="100.8" x14ac:dyDescent="0.3">
      <c r="A121" s="37">
        <v>409</v>
      </c>
      <c r="B121" s="175" t="s">
        <v>830</v>
      </c>
      <c r="C121" s="35" t="s">
        <v>831</v>
      </c>
      <c r="D121" s="35">
        <v>3145</v>
      </c>
      <c r="E121" s="38">
        <v>44769</v>
      </c>
      <c r="F121" s="38">
        <v>45930</v>
      </c>
      <c r="G121" s="39">
        <f t="shared" si="67"/>
        <v>1161</v>
      </c>
      <c r="H121" s="87">
        <f t="shared" si="68"/>
        <v>0.84323858742463398</v>
      </c>
      <c r="I121" s="41">
        <v>1563117</v>
      </c>
      <c r="J121" s="41">
        <v>0</v>
      </c>
      <c r="K121" s="41">
        <v>0</v>
      </c>
      <c r="L121" s="42">
        <f t="shared" si="69"/>
        <v>1563117</v>
      </c>
      <c r="M121" s="41">
        <v>1563117</v>
      </c>
      <c r="N121" s="42">
        <f t="shared" si="70"/>
        <v>0</v>
      </c>
      <c r="O121" s="88">
        <v>1563117</v>
      </c>
      <c r="P121" s="41" t="s">
        <v>832</v>
      </c>
      <c r="Q121" s="35" t="s">
        <v>833</v>
      </c>
      <c r="R121" s="35" t="s">
        <v>834</v>
      </c>
      <c r="S121" s="35" t="s">
        <v>835</v>
      </c>
      <c r="T121" s="160" t="s">
        <v>836</v>
      </c>
      <c r="U121" s="35" t="s">
        <v>22</v>
      </c>
      <c r="V121" s="88">
        <v>1563117</v>
      </c>
      <c r="W121" s="95">
        <v>0</v>
      </c>
      <c r="X121" s="89">
        <f t="shared" si="71"/>
        <v>1563117</v>
      </c>
      <c r="Y121" s="88">
        <v>1171989.96</v>
      </c>
      <c r="Z121" s="88">
        <v>0</v>
      </c>
      <c r="AA121" s="90">
        <f t="shared" si="72"/>
        <v>1171989.96</v>
      </c>
      <c r="AB121" s="91">
        <f t="shared" si="73"/>
        <v>0.74977750225990758</v>
      </c>
      <c r="AC121" s="96">
        <v>0</v>
      </c>
      <c r="AD121" s="90">
        <f t="shared" si="76"/>
        <v>1563117</v>
      </c>
      <c r="AE121" s="42">
        <f t="shared" si="74"/>
        <v>0</v>
      </c>
      <c r="AF121" s="93">
        <f t="shared" si="75"/>
        <v>0</v>
      </c>
      <c r="AG121" s="45" t="s">
        <v>118</v>
      </c>
      <c r="AH121" s="35">
        <v>705</v>
      </c>
      <c r="AI121" s="35" t="s">
        <v>21</v>
      </c>
      <c r="AJ121" s="35" t="s">
        <v>15</v>
      </c>
      <c r="AK121" s="35" t="s">
        <v>641</v>
      </c>
      <c r="AL121" s="35" t="s">
        <v>153</v>
      </c>
      <c r="AM121" s="35" t="s">
        <v>726</v>
      </c>
      <c r="AN121" s="42">
        <f t="shared" si="77"/>
        <v>391127.04000000004</v>
      </c>
    </row>
    <row r="122" spans="1:41" s="37" customFormat="1" ht="72" x14ac:dyDescent="0.3">
      <c r="A122" s="37">
        <v>409</v>
      </c>
      <c r="B122" s="175" t="s">
        <v>837</v>
      </c>
      <c r="C122" s="35" t="s">
        <v>838</v>
      </c>
      <c r="D122" s="35">
        <v>3145</v>
      </c>
      <c r="E122" s="38">
        <v>45091</v>
      </c>
      <c r="F122" s="38">
        <v>45838</v>
      </c>
      <c r="G122" s="39">
        <f t="shared" si="67"/>
        <v>747</v>
      </c>
      <c r="H122" s="87">
        <f t="shared" si="68"/>
        <v>0.87951807228915657</v>
      </c>
      <c r="I122" s="41">
        <v>5000000</v>
      </c>
      <c r="J122" s="41">
        <v>0</v>
      </c>
      <c r="K122" s="41">
        <v>0</v>
      </c>
      <c r="L122" s="42">
        <f t="shared" si="69"/>
        <v>5000000</v>
      </c>
      <c r="M122" s="41">
        <v>5000000</v>
      </c>
      <c r="N122" s="42">
        <f t="shared" si="70"/>
        <v>0</v>
      </c>
      <c r="O122" s="88">
        <v>5000000</v>
      </c>
      <c r="P122" s="41" t="s">
        <v>839</v>
      </c>
      <c r="Q122" s="35" t="s">
        <v>840</v>
      </c>
      <c r="R122" s="35" t="s">
        <v>840</v>
      </c>
      <c r="S122" s="35" t="s">
        <v>841</v>
      </c>
      <c r="T122" s="160" t="s">
        <v>842</v>
      </c>
      <c r="U122" s="35" t="s">
        <v>17</v>
      </c>
      <c r="V122" s="88">
        <v>5000000</v>
      </c>
      <c r="W122" s="95">
        <v>0</v>
      </c>
      <c r="X122" s="89">
        <f t="shared" si="71"/>
        <v>5000000</v>
      </c>
      <c r="Y122" s="88">
        <v>1920052.91</v>
      </c>
      <c r="Z122" s="88">
        <v>121280.83</v>
      </c>
      <c r="AA122" s="90">
        <f t="shared" si="72"/>
        <v>2041333.74</v>
      </c>
      <c r="AB122" s="91">
        <f t="shared" si="73"/>
        <v>0.40826674800000001</v>
      </c>
      <c r="AC122" s="96">
        <v>0</v>
      </c>
      <c r="AD122" s="90">
        <f t="shared" si="76"/>
        <v>5000000</v>
      </c>
      <c r="AE122" s="42">
        <f t="shared" si="74"/>
        <v>0</v>
      </c>
      <c r="AF122" s="93">
        <f t="shared" si="75"/>
        <v>0</v>
      </c>
      <c r="AG122" s="45" t="s">
        <v>118</v>
      </c>
      <c r="AH122" s="35">
        <v>237</v>
      </c>
      <c r="AI122" s="35" t="s">
        <v>21</v>
      </c>
      <c r="AJ122" s="35" t="s">
        <v>15</v>
      </c>
      <c r="AK122" s="35" t="s">
        <v>25</v>
      </c>
      <c r="AL122" s="35" t="s">
        <v>161</v>
      </c>
      <c r="AM122" s="35" t="s">
        <v>726</v>
      </c>
      <c r="AN122" s="42">
        <f t="shared" si="77"/>
        <v>2958666.26</v>
      </c>
    </row>
    <row r="123" spans="1:41" s="37" customFormat="1" ht="57.6" x14ac:dyDescent="0.3">
      <c r="A123" s="37">
        <v>409</v>
      </c>
      <c r="B123" s="175" t="s">
        <v>843</v>
      </c>
      <c r="C123" s="35" t="s">
        <v>844</v>
      </c>
      <c r="D123" s="35">
        <v>3146</v>
      </c>
      <c r="E123" s="38">
        <v>44791</v>
      </c>
      <c r="F123" s="38">
        <v>45473</v>
      </c>
      <c r="G123" s="39">
        <f t="shared" si="67"/>
        <v>682</v>
      </c>
      <c r="H123" s="87">
        <f t="shared" si="68"/>
        <v>1</v>
      </c>
      <c r="I123" s="41">
        <v>1430349</v>
      </c>
      <c r="J123" s="41">
        <v>0</v>
      </c>
      <c r="K123" s="41">
        <v>-1430349</v>
      </c>
      <c r="L123" s="42">
        <f t="shared" si="69"/>
        <v>0</v>
      </c>
      <c r="M123" s="41">
        <v>0</v>
      </c>
      <c r="N123" s="42">
        <f t="shared" si="70"/>
        <v>0</v>
      </c>
      <c r="O123" s="88">
        <v>1430349</v>
      </c>
      <c r="P123" s="41" t="s">
        <v>845</v>
      </c>
      <c r="Q123" s="35" t="s">
        <v>846</v>
      </c>
      <c r="R123" s="35" t="s">
        <v>847</v>
      </c>
      <c r="S123" s="35" t="s">
        <v>21</v>
      </c>
      <c r="T123" s="160" t="s">
        <v>189</v>
      </c>
      <c r="U123" s="35" t="s">
        <v>26</v>
      </c>
      <c r="V123" s="88">
        <v>0</v>
      </c>
      <c r="W123" s="95">
        <v>0</v>
      </c>
      <c r="X123" s="89">
        <f t="shared" si="71"/>
        <v>0</v>
      </c>
      <c r="Y123" s="88">
        <v>0</v>
      </c>
      <c r="Z123" s="88">
        <v>0</v>
      </c>
      <c r="AA123" s="90">
        <f t="shared" si="72"/>
        <v>0</v>
      </c>
      <c r="AB123" s="91">
        <f t="shared" si="73"/>
        <v>0</v>
      </c>
      <c r="AC123" s="96">
        <v>-1430349</v>
      </c>
      <c r="AD123" s="90">
        <f t="shared" si="76"/>
        <v>0</v>
      </c>
      <c r="AE123" s="42">
        <f t="shared" si="74"/>
        <v>0</v>
      </c>
      <c r="AF123" s="93">
        <f t="shared" si="75"/>
        <v>0</v>
      </c>
      <c r="AG123" s="45" t="s">
        <v>118</v>
      </c>
      <c r="AH123" s="35">
        <v>0</v>
      </c>
      <c r="AI123" s="35" t="s">
        <v>21</v>
      </c>
      <c r="AJ123" s="35" t="s">
        <v>15</v>
      </c>
      <c r="AK123" s="35" t="s">
        <v>25</v>
      </c>
      <c r="AL123" s="35" t="s">
        <v>161</v>
      </c>
      <c r="AM123" s="35" t="s">
        <v>848</v>
      </c>
      <c r="AN123" s="42">
        <f t="shared" si="77"/>
        <v>0</v>
      </c>
    </row>
    <row r="124" spans="1:41" s="37" customFormat="1" ht="57.6" x14ac:dyDescent="0.3">
      <c r="A124" s="37">
        <v>409</v>
      </c>
      <c r="B124" s="175" t="s">
        <v>849</v>
      </c>
      <c r="C124" s="35" t="s">
        <v>850</v>
      </c>
      <c r="D124" s="35">
        <v>3146</v>
      </c>
      <c r="E124" s="38">
        <v>45108</v>
      </c>
      <c r="F124" s="38">
        <v>46387</v>
      </c>
      <c r="G124" s="39">
        <f t="shared" si="67"/>
        <v>1279</v>
      </c>
      <c r="H124" s="87">
        <f t="shared" si="68"/>
        <v>0.5003909304143862</v>
      </c>
      <c r="I124" s="41">
        <v>1461385</v>
      </c>
      <c r="J124" s="41">
        <v>0</v>
      </c>
      <c r="K124" s="41">
        <v>0</v>
      </c>
      <c r="L124" s="42">
        <f t="shared" si="69"/>
        <v>1461385</v>
      </c>
      <c r="M124" s="41">
        <v>1461385</v>
      </c>
      <c r="N124" s="42">
        <f t="shared" si="70"/>
        <v>0</v>
      </c>
      <c r="O124" s="88">
        <v>1461385</v>
      </c>
      <c r="P124" s="41" t="s">
        <v>851</v>
      </c>
      <c r="Q124" s="35" t="s">
        <v>846</v>
      </c>
      <c r="R124" s="35" t="s">
        <v>852</v>
      </c>
      <c r="S124" s="35" t="s">
        <v>21</v>
      </c>
      <c r="T124" s="160" t="s">
        <v>853</v>
      </c>
      <c r="U124" s="35" t="s">
        <v>17</v>
      </c>
      <c r="V124" s="88">
        <v>1461385</v>
      </c>
      <c r="W124" s="95">
        <v>0</v>
      </c>
      <c r="X124" s="89">
        <f t="shared" si="71"/>
        <v>1461385</v>
      </c>
      <c r="Y124" s="88">
        <v>584688.54</v>
      </c>
      <c r="Z124" s="88">
        <v>491329.63</v>
      </c>
      <c r="AA124" s="90">
        <f t="shared" si="72"/>
        <v>1076018.17</v>
      </c>
      <c r="AB124" s="91">
        <f t="shared" si="73"/>
        <v>0.73630026994939723</v>
      </c>
      <c r="AC124" s="96"/>
      <c r="AD124" s="90">
        <f t="shared" si="76"/>
        <v>1461385</v>
      </c>
      <c r="AE124" s="42">
        <f t="shared" si="74"/>
        <v>0</v>
      </c>
      <c r="AF124" s="93">
        <f t="shared" si="75"/>
        <v>0</v>
      </c>
      <c r="AG124" s="45" t="s">
        <v>118</v>
      </c>
      <c r="AH124" s="35">
        <v>52</v>
      </c>
      <c r="AI124" s="35" t="s">
        <v>21</v>
      </c>
      <c r="AJ124" s="35" t="s">
        <v>15</v>
      </c>
      <c r="AK124" s="35" t="s">
        <v>25</v>
      </c>
      <c r="AL124" s="35" t="s">
        <v>161</v>
      </c>
      <c r="AM124" s="35" t="s">
        <v>726</v>
      </c>
      <c r="AN124" s="42">
        <f t="shared" si="77"/>
        <v>385366.83000000007</v>
      </c>
    </row>
    <row r="125" spans="1:41" s="37" customFormat="1" ht="100.8" x14ac:dyDescent="0.3">
      <c r="A125" s="37">
        <v>409</v>
      </c>
      <c r="B125" s="175" t="s">
        <v>854</v>
      </c>
      <c r="C125" s="35" t="s">
        <v>855</v>
      </c>
      <c r="D125" s="35">
        <v>3146</v>
      </c>
      <c r="E125" s="38">
        <v>44791</v>
      </c>
      <c r="F125" s="38">
        <v>45838</v>
      </c>
      <c r="G125" s="39">
        <f t="shared" si="67"/>
        <v>1047</v>
      </c>
      <c r="H125" s="87">
        <f t="shared" si="68"/>
        <v>0.91404011461318047</v>
      </c>
      <c r="I125" s="41">
        <f>977346+980629</f>
        <v>1957975</v>
      </c>
      <c r="J125" s="41">
        <v>-49755</v>
      </c>
      <c r="K125" s="41">
        <v>0</v>
      </c>
      <c r="L125" s="42">
        <f t="shared" si="69"/>
        <v>1908220</v>
      </c>
      <c r="M125" s="41">
        <v>1908220</v>
      </c>
      <c r="N125" s="42">
        <f t="shared" si="70"/>
        <v>0</v>
      </c>
      <c r="O125" s="88">
        <f>977346+980629</f>
        <v>1957975</v>
      </c>
      <c r="P125" s="41" t="s">
        <v>856</v>
      </c>
      <c r="Q125" s="35" t="s">
        <v>857</v>
      </c>
      <c r="R125" s="35" t="s">
        <v>858</v>
      </c>
      <c r="S125" s="35" t="s">
        <v>21</v>
      </c>
      <c r="T125" s="160" t="s">
        <v>859</v>
      </c>
      <c r="U125" s="35" t="s">
        <v>22</v>
      </c>
      <c r="V125" s="88">
        <v>1908220</v>
      </c>
      <c r="W125" s="95">
        <v>0</v>
      </c>
      <c r="X125" s="89">
        <f t="shared" si="71"/>
        <v>1908220</v>
      </c>
      <c r="Y125" s="88">
        <v>862598.1</v>
      </c>
      <c r="Z125" s="88">
        <v>58790.25</v>
      </c>
      <c r="AA125" s="90">
        <f t="shared" si="72"/>
        <v>921388.35</v>
      </c>
      <c r="AB125" s="91">
        <f t="shared" si="73"/>
        <v>0.47058228526921947</v>
      </c>
      <c r="AC125" s="96">
        <v>-49755</v>
      </c>
      <c r="AD125" s="90">
        <f t="shared" si="76"/>
        <v>1908220</v>
      </c>
      <c r="AE125" s="42">
        <f t="shared" si="74"/>
        <v>0</v>
      </c>
      <c r="AF125" s="93">
        <f t="shared" si="75"/>
        <v>0</v>
      </c>
      <c r="AG125" s="45" t="s">
        <v>118</v>
      </c>
      <c r="AH125" s="81">
        <v>4894</v>
      </c>
      <c r="AI125" s="35" t="s">
        <v>21</v>
      </c>
      <c r="AJ125" s="35" t="s">
        <v>15</v>
      </c>
      <c r="AK125" s="35" t="s">
        <v>25</v>
      </c>
      <c r="AL125" s="35" t="s">
        <v>161</v>
      </c>
      <c r="AM125" s="37" t="s">
        <v>726</v>
      </c>
      <c r="AN125" s="42">
        <f t="shared" si="77"/>
        <v>986831.65</v>
      </c>
    </row>
    <row r="126" spans="1:41" s="37" customFormat="1" ht="72" x14ac:dyDescent="0.3">
      <c r="A126" s="37">
        <v>409</v>
      </c>
      <c r="B126" s="175" t="s">
        <v>860</v>
      </c>
      <c r="C126" s="55" t="s">
        <v>861</v>
      </c>
      <c r="D126" s="35">
        <v>3146</v>
      </c>
      <c r="E126" s="38">
        <v>44791</v>
      </c>
      <c r="F126" s="38">
        <v>46387</v>
      </c>
      <c r="G126" s="39">
        <f t="shared" si="67"/>
        <v>1596</v>
      </c>
      <c r="H126" s="87">
        <f t="shared" si="68"/>
        <v>0.59962406015037595</v>
      </c>
      <c r="I126" s="41">
        <f>2474401+2431165</f>
        <v>4905566</v>
      </c>
      <c r="J126" s="41">
        <v>-29031</v>
      </c>
      <c r="K126" s="41">
        <v>0</v>
      </c>
      <c r="L126" s="42">
        <f t="shared" si="69"/>
        <v>4876535</v>
      </c>
      <c r="M126" s="41">
        <v>4876535</v>
      </c>
      <c r="N126" s="42">
        <f t="shared" si="70"/>
        <v>0</v>
      </c>
      <c r="O126" s="88">
        <f>+I126</f>
        <v>4905566</v>
      </c>
      <c r="P126" s="41" t="s">
        <v>862</v>
      </c>
      <c r="Q126" s="35" t="s">
        <v>863</v>
      </c>
      <c r="R126" s="35" t="s">
        <v>863</v>
      </c>
      <c r="S126" s="35" t="s">
        <v>863</v>
      </c>
      <c r="T126" s="160" t="s">
        <v>864</v>
      </c>
      <c r="U126" s="35" t="s">
        <v>17</v>
      </c>
      <c r="V126" s="88">
        <v>4876535</v>
      </c>
      <c r="W126" s="95">
        <v>0</v>
      </c>
      <c r="X126" s="89">
        <f t="shared" si="71"/>
        <v>4876535</v>
      </c>
      <c r="Y126" s="88">
        <v>1044497.0900000001</v>
      </c>
      <c r="Z126" s="88">
        <v>580854.12</v>
      </c>
      <c r="AA126" s="90">
        <f t="shared" si="72"/>
        <v>1625351.21</v>
      </c>
      <c r="AB126" s="91">
        <f t="shared" si="73"/>
        <v>0.33132796704804296</v>
      </c>
      <c r="AC126" s="96">
        <v>-29031</v>
      </c>
      <c r="AD126" s="90">
        <f t="shared" si="76"/>
        <v>4876535</v>
      </c>
      <c r="AE126" s="42">
        <f t="shared" si="74"/>
        <v>0</v>
      </c>
      <c r="AF126" s="93">
        <f t="shared" si="75"/>
        <v>0</v>
      </c>
      <c r="AG126" s="45" t="s">
        <v>118</v>
      </c>
      <c r="AH126" s="35">
        <v>17</v>
      </c>
      <c r="AI126" s="35" t="s">
        <v>21</v>
      </c>
      <c r="AJ126" s="35" t="s">
        <v>15</v>
      </c>
      <c r="AK126" s="35" t="s">
        <v>25</v>
      </c>
      <c r="AL126" s="35" t="s">
        <v>161</v>
      </c>
      <c r="AM126" s="35" t="s">
        <v>726</v>
      </c>
      <c r="AN126" s="42">
        <f t="shared" si="77"/>
        <v>3251183.79</v>
      </c>
    </row>
    <row r="127" spans="1:41" s="37" customFormat="1" ht="57.6" x14ac:dyDescent="0.3">
      <c r="A127" s="37">
        <v>409</v>
      </c>
      <c r="B127" s="175" t="s">
        <v>865</v>
      </c>
      <c r="C127" s="35" t="s">
        <v>866</v>
      </c>
      <c r="D127" s="35">
        <v>3145</v>
      </c>
      <c r="E127" s="38">
        <v>44854</v>
      </c>
      <c r="F127" s="38">
        <v>45291</v>
      </c>
      <c r="G127" s="39">
        <f t="shared" si="67"/>
        <v>437</v>
      </c>
      <c r="H127" s="87">
        <f t="shared" si="68"/>
        <v>1</v>
      </c>
      <c r="I127" s="41">
        <v>651687</v>
      </c>
      <c r="J127" s="41">
        <v>-9996.9500000000007</v>
      </c>
      <c r="K127" s="41">
        <v>0</v>
      </c>
      <c r="L127" s="42">
        <f t="shared" si="69"/>
        <v>641690.05000000005</v>
      </c>
      <c r="M127" s="41">
        <v>641690.05000000005</v>
      </c>
      <c r="N127" s="42">
        <f t="shared" si="70"/>
        <v>0</v>
      </c>
      <c r="O127" s="88">
        <v>651687</v>
      </c>
      <c r="P127" s="45" t="s">
        <v>867</v>
      </c>
      <c r="Q127" s="35" t="s">
        <v>868</v>
      </c>
      <c r="R127" s="35" t="s">
        <v>869</v>
      </c>
      <c r="S127" s="35" t="s">
        <v>870</v>
      </c>
      <c r="T127" s="160" t="s">
        <v>213</v>
      </c>
      <c r="U127" s="35" t="s">
        <v>26</v>
      </c>
      <c r="V127" s="88">
        <v>641690.05000000005</v>
      </c>
      <c r="W127" s="95">
        <v>0</v>
      </c>
      <c r="X127" s="89">
        <f t="shared" si="71"/>
        <v>641690.05000000005</v>
      </c>
      <c r="Y127" s="88">
        <v>641690.05000000005</v>
      </c>
      <c r="Z127" s="88">
        <v>0</v>
      </c>
      <c r="AA127" s="90">
        <f t="shared" si="72"/>
        <v>641690.05000000005</v>
      </c>
      <c r="AB127" s="91">
        <f t="shared" si="73"/>
        <v>0.98465989040751167</v>
      </c>
      <c r="AC127" s="96">
        <v>-9996.9500000000007</v>
      </c>
      <c r="AD127" s="90">
        <f t="shared" si="76"/>
        <v>641690.05000000005</v>
      </c>
      <c r="AE127" s="42">
        <f t="shared" si="74"/>
        <v>0</v>
      </c>
      <c r="AF127" s="93">
        <f t="shared" si="75"/>
        <v>0</v>
      </c>
      <c r="AG127" s="45" t="s">
        <v>118</v>
      </c>
      <c r="AH127" s="35">
        <v>404</v>
      </c>
      <c r="AI127" s="35" t="s">
        <v>21</v>
      </c>
      <c r="AJ127" s="35" t="s">
        <v>15</v>
      </c>
      <c r="AK127" s="35" t="s">
        <v>25</v>
      </c>
      <c r="AL127" s="35" t="s">
        <v>153</v>
      </c>
      <c r="AM127" s="35" t="s">
        <v>726</v>
      </c>
      <c r="AN127" s="42">
        <f t="shared" si="77"/>
        <v>0</v>
      </c>
    </row>
    <row r="128" spans="1:41" s="37" customFormat="1" ht="72" x14ac:dyDescent="0.3">
      <c r="A128" s="37">
        <v>409</v>
      </c>
      <c r="B128" s="175" t="s">
        <v>871</v>
      </c>
      <c r="C128" s="35" t="s">
        <v>872</v>
      </c>
      <c r="D128" s="35">
        <v>3646</v>
      </c>
      <c r="E128" s="38">
        <v>44854</v>
      </c>
      <c r="F128" s="38">
        <v>45107</v>
      </c>
      <c r="G128" s="39">
        <f t="shared" si="67"/>
        <v>253</v>
      </c>
      <c r="H128" s="87">
        <f t="shared" si="68"/>
        <v>1</v>
      </c>
      <c r="I128" s="41">
        <v>544022</v>
      </c>
      <c r="J128" s="41">
        <v>-492593</v>
      </c>
      <c r="K128" s="41">
        <v>0</v>
      </c>
      <c r="L128" s="42">
        <f t="shared" si="69"/>
        <v>51429</v>
      </c>
      <c r="M128" s="41">
        <f>12692+38737</f>
        <v>51429</v>
      </c>
      <c r="N128" s="42">
        <f t="shared" si="70"/>
        <v>0</v>
      </c>
      <c r="O128" s="88">
        <v>544022</v>
      </c>
      <c r="P128" s="45" t="s">
        <v>873</v>
      </c>
      <c r="Q128" s="35" t="s">
        <v>874</v>
      </c>
      <c r="R128" s="35" t="s">
        <v>875</v>
      </c>
      <c r="S128" s="35" t="s">
        <v>21</v>
      </c>
      <c r="T128" s="160" t="s">
        <v>876</v>
      </c>
      <c r="U128" s="35" t="s">
        <v>26</v>
      </c>
      <c r="V128" s="88">
        <v>51429</v>
      </c>
      <c r="W128" s="95">
        <v>0</v>
      </c>
      <c r="X128" s="89">
        <f t="shared" si="71"/>
        <v>51429</v>
      </c>
      <c r="Y128" s="88">
        <v>51429</v>
      </c>
      <c r="Z128" s="88">
        <v>0</v>
      </c>
      <c r="AA128" s="90">
        <f t="shared" si="72"/>
        <v>51429</v>
      </c>
      <c r="AB128" s="91">
        <f t="shared" si="73"/>
        <v>9.4534779843462216E-2</v>
      </c>
      <c r="AC128" s="41">
        <v>-492593</v>
      </c>
      <c r="AD128" s="90">
        <f t="shared" si="76"/>
        <v>51429</v>
      </c>
      <c r="AE128" s="42">
        <f t="shared" si="74"/>
        <v>0</v>
      </c>
      <c r="AF128" s="93">
        <f t="shared" si="75"/>
        <v>0</v>
      </c>
      <c r="AG128" s="41" t="s">
        <v>822</v>
      </c>
      <c r="AH128" s="35" t="s">
        <v>21</v>
      </c>
      <c r="AI128" s="35" t="s">
        <v>21</v>
      </c>
      <c r="AJ128" s="35" t="s">
        <v>15</v>
      </c>
      <c r="AK128" s="35" t="s">
        <v>160</v>
      </c>
      <c r="AL128" s="35" t="s">
        <v>161</v>
      </c>
      <c r="AM128" s="35" t="s">
        <v>726</v>
      </c>
      <c r="AN128" s="42">
        <f t="shared" si="77"/>
        <v>0</v>
      </c>
    </row>
    <row r="129" spans="1:40" s="37" customFormat="1" ht="72" x14ac:dyDescent="0.3">
      <c r="A129" s="37">
        <v>409</v>
      </c>
      <c r="B129" s="175" t="s">
        <v>877</v>
      </c>
      <c r="C129" s="35" t="s">
        <v>878</v>
      </c>
      <c r="D129" s="35">
        <v>3646</v>
      </c>
      <c r="E129" s="38">
        <v>44854</v>
      </c>
      <c r="F129" s="38">
        <v>45473</v>
      </c>
      <c r="G129" s="39">
        <f t="shared" si="67"/>
        <v>619</v>
      </c>
      <c r="H129" s="87">
        <f t="shared" si="68"/>
        <v>1</v>
      </c>
      <c r="I129" s="41">
        <v>771899</v>
      </c>
      <c r="J129" s="41">
        <f>-236717-88821</f>
        <v>-325538</v>
      </c>
      <c r="K129" s="41">
        <v>0</v>
      </c>
      <c r="L129" s="42">
        <f t="shared" si="69"/>
        <v>446361</v>
      </c>
      <c r="M129" s="41">
        <v>446361</v>
      </c>
      <c r="N129" s="42">
        <f t="shared" si="70"/>
        <v>0</v>
      </c>
      <c r="O129" s="88">
        <v>771899</v>
      </c>
      <c r="P129" s="41" t="s">
        <v>826</v>
      </c>
      <c r="Q129" s="35" t="s">
        <v>874</v>
      </c>
      <c r="R129" s="35" t="s">
        <v>875</v>
      </c>
      <c r="S129" s="35" t="s">
        <v>21</v>
      </c>
      <c r="T129" s="160" t="s">
        <v>876</v>
      </c>
      <c r="U129" s="35" t="s">
        <v>26</v>
      </c>
      <c r="V129" s="88">
        <v>403955.96</v>
      </c>
      <c r="W129" s="95">
        <v>0</v>
      </c>
      <c r="X129" s="89">
        <f t="shared" si="71"/>
        <v>403955.96</v>
      </c>
      <c r="Y129" s="88">
        <v>403955.96</v>
      </c>
      <c r="Z129" s="88">
        <v>0</v>
      </c>
      <c r="AA129" s="90">
        <f t="shared" si="72"/>
        <v>403955.96</v>
      </c>
      <c r="AB129" s="91">
        <f t="shared" si="73"/>
        <v>0.52332748196331391</v>
      </c>
      <c r="AC129" s="41">
        <f>-236717-88821</f>
        <v>-325538</v>
      </c>
      <c r="AD129" s="90">
        <f t="shared" si="76"/>
        <v>446361</v>
      </c>
      <c r="AE129" s="42">
        <f t="shared" si="74"/>
        <v>0</v>
      </c>
      <c r="AF129" s="93">
        <f t="shared" si="75"/>
        <v>42405.039999999979</v>
      </c>
      <c r="AG129" s="41" t="s">
        <v>822</v>
      </c>
      <c r="AH129" s="35" t="s">
        <v>21</v>
      </c>
      <c r="AI129" s="35" t="s">
        <v>21</v>
      </c>
      <c r="AJ129" s="35" t="s">
        <v>15</v>
      </c>
      <c r="AK129" s="35" t="s">
        <v>160</v>
      </c>
      <c r="AL129" s="35" t="s">
        <v>161</v>
      </c>
      <c r="AM129" s="35" t="s">
        <v>879</v>
      </c>
      <c r="AN129" s="42">
        <f t="shared" si="77"/>
        <v>42405.039999999979</v>
      </c>
    </row>
    <row r="130" spans="1:40" s="37" customFormat="1" ht="316.8" x14ac:dyDescent="0.3">
      <c r="A130" s="37">
        <v>409</v>
      </c>
      <c r="B130" s="175" t="s">
        <v>880</v>
      </c>
      <c r="C130" s="35" t="s">
        <v>881</v>
      </c>
      <c r="D130" s="35">
        <v>3145</v>
      </c>
      <c r="E130" s="38">
        <v>44910</v>
      </c>
      <c r="F130" s="38">
        <v>46387</v>
      </c>
      <c r="G130" s="39">
        <f t="shared" si="67"/>
        <v>1477</v>
      </c>
      <c r="H130" s="87">
        <f t="shared" si="68"/>
        <v>0.56736628300609349</v>
      </c>
      <c r="I130" s="41">
        <v>7022777</v>
      </c>
      <c r="J130" s="41">
        <v>-401607</v>
      </c>
      <c r="K130" s="41">
        <v>0</v>
      </c>
      <c r="L130" s="42">
        <f t="shared" si="69"/>
        <v>6621170</v>
      </c>
      <c r="M130" s="41">
        <v>6621170</v>
      </c>
      <c r="N130" s="42">
        <f t="shared" si="70"/>
        <v>0</v>
      </c>
      <c r="O130" s="88">
        <v>7022777</v>
      </c>
      <c r="P130" s="41" t="s">
        <v>882</v>
      </c>
      <c r="Q130" s="35" t="s">
        <v>883</v>
      </c>
      <c r="R130" s="35" t="s">
        <v>21</v>
      </c>
      <c r="S130" s="35" t="s">
        <v>21</v>
      </c>
      <c r="T130" s="160" t="s">
        <v>884</v>
      </c>
      <c r="U130" s="35" t="s">
        <v>17</v>
      </c>
      <c r="V130" s="88">
        <v>6621170</v>
      </c>
      <c r="W130" s="95">
        <v>0</v>
      </c>
      <c r="X130" s="89">
        <f t="shared" si="71"/>
        <v>6621170</v>
      </c>
      <c r="Y130" s="88">
        <v>812222.25</v>
      </c>
      <c r="Z130" s="88">
        <v>8550.5</v>
      </c>
      <c r="AA130" s="90">
        <f t="shared" si="72"/>
        <v>820772.75</v>
      </c>
      <c r="AB130" s="91">
        <f t="shared" si="73"/>
        <v>0.11687296207753714</v>
      </c>
      <c r="AC130" s="96">
        <v>-401607</v>
      </c>
      <c r="AD130" s="90">
        <f t="shared" si="76"/>
        <v>6621170</v>
      </c>
      <c r="AE130" s="42">
        <f t="shared" si="74"/>
        <v>0</v>
      </c>
      <c r="AF130" s="93">
        <f t="shared" si="75"/>
        <v>0</v>
      </c>
      <c r="AG130" s="45" t="s">
        <v>118</v>
      </c>
      <c r="AH130" s="35" t="s">
        <v>21</v>
      </c>
      <c r="AI130" s="35" t="s">
        <v>21</v>
      </c>
      <c r="AJ130" s="35" t="s">
        <v>8</v>
      </c>
      <c r="AK130" s="35" t="s">
        <v>160</v>
      </c>
      <c r="AL130" s="35" t="s">
        <v>119</v>
      </c>
      <c r="AM130" s="35" t="s">
        <v>75</v>
      </c>
      <c r="AN130" s="42">
        <f t="shared" si="77"/>
        <v>5800397.25</v>
      </c>
    </row>
    <row r="131" spans="1:40" s="37" customFormat="1" ht="129.6" x14ac:dyDescent="0.3">
      <c r="A131" s="37">
        <v>409</v>
      </c>
      <c r="B131" s="175" t="s">
        <v>885</v>
      </c>
      <c r="C131" s="35" t="s">
        <v>886</v>
      </c>
      <c r="D131" s="35">
        <v>3646</v>
      </c>
      <c r="E131" s="38">
        <v>44791</v>
      </c>
      <c r="F131" s="38">
        <v>45473</v>
      </c>
      <c r="G131" s="39">
        <f t="shared" si="67"/>
        <v>682</v>
      </c>
      <c r="H131" s="87">
        <f t="shared" si="68"/>
        <v>1</v>
      </c>
      <c r="I131" s="41">
        <f>1208534+1481302</f>
        <v>2689836</v>
      </c>
      <c r="J131" s="41">
        <f>-1088907-362085-174615</f>
        <v>-1625607</v>
      </c>
      <c r="K131" s="41">
        <v>0</v>
      </c>
      <c r="L131" s="42">
        <f t="shared" si="69"/>
        <v>1064229</v>
      </c>
      <c r="M131" s="41">
        <v>1064229</v>
      </c>
      <c r="N131" s="42">
        <f t="shared" si="70"/>
        <v>0</v>
      </c>
      <c r="O131" s="88">
        <f>1208534+1481302</f>
        <v>2689836</v>
      </c>
      <c r="P131" s="41" t="s">
        <v>887</v>
      </c>
      <c r="Q131" s="35" t="s">
        <v>888</v>
      </c>
      <c r="R131" s="35" t="s">
        <v>743</v>
      </c>
      <c r="S131" s="35" t="s">
        <v>744</v>
      </c>
      <c r="T131" s="160" t="s">
        <v>889</v>
      </c>
      <c r="U131" s="35" t="s">
        <v>26</v>
      </c>
      <c r="V131" s="88">
        <v>1064229</v>
      </c>
      <c r="W131" s="95">
        <v>0</v>
      </c>
      <c r="X131" s="89">
        <f t="shared" si="71"/>
        <v>1064229</v>
      </c>
      <c r="Y131" s="88">
        <v>921013.70000000007</v>
      </c>
      <c r="Z131" s="88"/>
      <c r="AA131" s="90">
        <f t="shared" si="72"/>
        <v>921013.70000000007</v>
      </c>
      <c r="AB131" s="91">
        <f t="shared" si="73"/>
        <v>0.34240515035117386</v>
      </c>
      <c r="AC131" s="41">
        <f>-1088907-362085-174615</f>
        <v>-1625607</v>
      </c>
      <c r="AD131" s="90">
        <f t="shared" si="76"/>
        <v>1064229</v>
      </c>
      <c r="AE131" s="42">
        <f t="shared" si="74"/>
        <v>0</v>
      </c>
      <c r="AF131" s="93">
        <f t="shared" si="75"/>
        <v>0</v>
      </c>
      <c r="AG131" s="41" t="s">
        <v>822</v>
      </c>
      <c r="AH131" s="35" t="s">
        <v>21</v>
      </c>
      <c r="AI131" s="35" t="s">
        <v>21</v>
      </c>
      <c r="AJ131" s="35" t="s">
        <v>15</v>
      </c>
      <c r="AK131" s="35" t="s">
        <v>160</v>
      </c>
      <c r="AL131" s="35" t="s">
        <v>161</v>
      </c>
      <c r="AM131" s="35" t="s">
        <v>879</v>
      </c>
      <c r="AN131" s="42">
        <f t="shared" si="77"/>
        <v>143215.29999999993</v>
      </c>
    </row>
    <row r="132" spans="1:40" s="37" customFormat="1" ht="115.2" x14ac:dyDescent="0.3">
      <c r="A132" s="37">
        <v>409</v>
      </c>
      <c r="B132" s="175" t="s">
        <v>890</v>
      </c>
      <c r="C132" s="35" t="s">
        <v>891</v>
      </c>
      <c r="D132" s="35">
        <v>3281</v>
      </c>
      <c r="E132" s="38">
        <v>44791</v>
      </c>
      <c r="F132" s="38">
        <v>45473</v>
      </c>
      <c r="G132" s="39">
        <f t="shared" si="67"/>
        <v>682</v>
      </c>
      <c r="H132" s="87">
        <f t="shared" si="68"/>
        <v>1</v>
      </c>
      <c r="I132" s="88">
        <f>361982+446313</f>
        <v>808295</v>
      </c>
      <c r="J132" s="41">
        <f>-581999-9716</f>
        <v>-591715</v>
      </c>
      <c r="K132" s="41"/>
      <c r="L132" s="42">
        <f t="shared" si="69"/>
        <v>216580</v>
      </c>
      <c r="M132" s="41">
        <v>216580</v>
      </c>
      <c r="N132" s="42">
        <f t="shared" si="70"/>
        <v>0</v>
      </c>
      <c r="O132" s="88">
        <f>361982+446313</f>
        <v>808295</v>
      </c>
      <c r="P132" s="41" t="s">
        <v>892</v>
      </c>
      <c r="Q132" s="35" t="s">
        <v>893</v>
      </c>
      <c r="R132" s="35" t="s">
        <v>743</v>
      </c>
      <c r="S132" s="35" t="s">
        <v>744</v>
      </c>
      <c r="T132" s="160" t="s">
        <v>889</v>
      </c>
      <c r="U132" s="35" t="s">
        <v>26</v>
      </c>
      <c r="V132" s="88">
        <v>182957.14</v>
      </c>
      <c r="W132" s="95">
        <v>0</v>
      </c>
      <c r="X132" s="89">
        <f t="shared" si="71"/>
        <v>182957.14</v>
      </c>
      <c r="Y132" s="88">
        <v>182957.14</v>
      </c>
      <c r="Z132" s="88">
        <v>0</v>
      </c>
      <c r="AA132" s="90">
        <f t="shared" si="72"/>
        <v>182957.14</v>
      </c>
      <c r="AB132" s="91">
        <f t="shared" si="73"/>
        <v>0.22634946399519978</v>
      </c>
      <c r="AC132" s="41">
        <f>-581999-9716</f>
        <v>-591715</v>
      </c>
      <c r="AD132" s="90">
        <f t="shared" si="76"/>
        <v>216580</v>
      </c>
      <c r="AE132" s="42">
        <f t="shared" si="74"/>
        <v>0</v>
      </c>
      <c r="AF132" s="93">
        <f t="shared" si="75"/>
        <v>33622.859999999986</v>
      </c>
      <c r="AG132" s="41" t="s">
        <v>822</v>
      </c>
      <c r="AH132" s="35" t="s">
        <v>21</v>
      </c>
      <c r="AI132" s="35" t="s">
        <v>21</v>
      </c>
      <c r="AJ132" s="35" t="s">
        <v>15</v>
      </c>
      <c r="AK132" s="35" t="s">
        <v>641</v>
      </c>
      <c r="AL132" s="35" t="s">
        <v>161</v>
      </c>
      <c r="AM132" s="35" t="s">
        <v>879</v>
      </c>
      <c r="AN132" s="42">
        <f t="shared" si="77"/>
        <v>33622.859999999986</v>
      </c>
    </row>
    <row r="133" spans="1:40" s="37" customFormat="1" ht="57.6" x14ac:dyDescent="0.3">
      <c r="A133" s="37">
        <v>409</v>
      </c>
      <c r="B133" s="175" t="s">
        <v>894</v>
      </c>
      <c r="C133" s="35" t="s">
        <v>895</v>
      </c>
      <c r="D133" s="35">
        <v>3143</v>
      </c>
      <c r="E133" s="38">
        <v>44791</v>
      </c>
      <c r="F133" s="38">
        <v>45473</v>
      </c>
      <c r="G133" s="39">
        <f t="shared" ref="G133:G154" si="78">F133-E133</f>
        <v>682</v>
      </c>
      <c r="H133" s="87">
        <f t="shared" ref="H133:H154" si="79">IF(U133="Completed",1,($B$1-E133)/G133)</f>
        <v>1</v>
      </c>
      <c r="I133" s="41">
        <v>364000</v>
      </c>
      <c r="J133" s="41">
        <v>-48000</v>
      </c>
      <c r="K133" s="41"/>
      <c r="L133" s="42">
        <f t="shared" ref="L133:L154" si="80">I133+J133+K133</f>
        <v>316000</v>
      </c>
      <c r="M133" s="41">
        <v>316000</v>
      </c>
      <c r="N133" s="42">
        <f t="shared" ref="N133:N154" si="81">L133-M133</f>
        <v>0</v>
      </c>
      <c r="O133" s="88">
        <v>364000</v>
      </c>
      <c r="P133" s="45" t="s">
        <v>896</v>
      </c>
      <c r="Q133" s="35" t="s">
        <v>897</v>
      </c>
      <c r="R133" s="35" t="s">
        <v>898</v>
      </c>
      <c r="S133" s="35" t="s">
        <v>898</v>
      </c>
      <c r="T133" s="160" t="s">
        <v>899</v>
      </c>
      <c r="U133" s="35" t="s">
        <v>26</v>
      </c>
      <c r="V133" s="88">
        <v>316000</v>
      </c>
      <c r="W133" s="95">
        <v>0</v>
      </c>
      <c r="X133" s="89">
        <f t="shared" ref="X133:X154" si="82">V133+W133</f>
        <v>316000</v>
      </c>
      <c r="Y133" s="88">
        <v>316000</v>
      </c>
      <c r="Z133" s="88"/>
      <c r="AA133" s="90">
        <f>Y133+Z133</f>
        <v>316000</v>
      </c>
      <c r="AB133" s="91">
        <f t="shared" ref="AB133:AB151" si="83">AA133/O133</f>
        <v>0.86813186813186816</v>
      </c>
      <c r="AC133" s="98">
        <v>-48000</v>
      </c>
      <c r="AD133" s="90">
        <f t="shared" ref="AD133:AD154" si="84">O133+AC133</f>
        <v>316000</v>
      </c>
      <c r="AE133" s="42">
        <f t="shared" ref="AE133:AE154" si="85">M133-AD133</f>
        <v>0</v>
      </c>
      <c r="AF133" s="93">
        <f t="shared" ref="AF133:AF154" si="86">AD133-X133</f>
        <v>0</v>
      </c>
      <c r="AG133" s="45" t="s">
        <v>118</v>
      </c>
      <c r="AH133" s="35" t="s">
        <v>21</v>
      </c>
      <c r="AI133" s="35" t="s">
        <v>21</v>
      </c>
      <c r="AJ133" s="35" t="s">
        <v>15</v>
      </c>
      <c r="AK133" s="35" t="s">
        <v>25</v>
      </c>
      <c r="AL133" s="35" t="s">
        <v>119</v>
      </c>
      <c r="AM133" s="35" t="s">
        <v>726</v>
      </c>
      <c r="AN133" s="42">
        <f t="shared" ref="AN133:AN154" si="87">AD133-AA133</f>
        <v>0</v>
      </c>
    </row>
    <row r="134" spans="1:40" s="37" customFormat="1" ht="144" x14ac:dyDescent="0.3">
      <c r="A134" s="37">
        <v>409</v>
      </c>
      <c r="B134" s="175" t="s">
        <v>900</v>
      </c>
      <c r="C134" s="35" t="s">
        <v>901</v>
      </c>
      <c r="D134" s="35">
        <v>3281</v>
      </c>
      <c r="E134" s="38">
        <v>44791</v>
      </c>
      <c r="F134" s="38">
        <v>45473</v>
      </c>
      <c r="G134" s="39">
        <f t="shared" si="78"/>
        <v>682</v>
      </c>
      <c r="H134" s="87">
        <f t="shared" si="79"/>
        <v>1</v>
      </c>
      <c r="I134" s="41">
        <f>241020+186468</f>
        <v>427488</v>
      </c>
      <c r="J134" s="41">
        <f>-184589-160586-20006</f>
        <v>-365181</v>
      </c>
      <c r="K134" s="41"/>
      <c r="L134" s="42">
        <f t="shared" si="80"/>
        <v>62307</v>
      </c>
      <c r="M134" s="41">
        <v>62307</v>
      </c>
      <c r="N134" s="42">
        <f t="shared" si="81"/>
        <v>0</v>
      </c>
      <c r="O134" s="88">
        <f>186468+241020</f>
        <v>427488</v>
      </c>
      <c r="P134" s="41" t="s">
        <v>902</v>
      </c>
      <c r="Q134" s="35" t="s">
        <v>903</v>
      </c>
      <c r="R134" s="35" t="s">
        <v>904</v>
      </c>
      <c r="S134" s="35" t="s">
        <v>905</v>
      </c>
      <c r="T134" s="160" t="s">
        <v>889</v>
      </c>
      <c r="U134" s="35" t="s">
        <v>26</v>
      </c>
      <c r="V134" s="88">
        <v>46972.06</v>
      </c>
      <c r="W134" s="95">
        <v>0</v>
      </c>
      <c r="X134" s="89">
        <f t="shared" si="82"/>
        <v>46972.06</v>
      </c>
      <c r="Y134" s="88">
        <v>46972.06</v>
      </c>
      <c r="Z134" s="88">
        <v>0</v>
      </c>
      <c r="AA134" s="90">
        <f t="shared" ref="AA134:AA154" si="88">Y134+Z134</f>
        <v>46972.06</v>
      </c>
      <c r="AB134" s="91">
        <f t="shared" si="83"/>
        <v>0.10987924807246051</v>
      </c>
      <c r="AC134" s="41">
        <f>-184589-160586-20006</f>
        <v>-365181</v>
      </c>
      <c r="AD134" s="90">
        <f t="shared" si="84"/>
        <v>62307</v>
      </c>
      <c r="AE134" s="42">
        <f t="shared" si="85"/>
        <v>0</v>
      </c>
      <c r="AF134" s="93">
        <f t="shared" si="86"/>
        <v>15334.940000000002</v>
      </c>
      <c r="AG134" s="41" t="s">
        <v>822</v>
      </c>
      <c r="AH134" s="35" t="s">
        <v>21</v>
      </c>
      <c r="AI134" s="35" t="s">
        <v>21</v>
      </c>
      <c r="AJ134" s="35" t="s">
        <v>15</v>
      </c>
      <c r="AK134" s="35" t="s">
        <v>641</v>
      </c>
      <c r="AL134" s="35" t="s">
        <v>126</v>
      </c>
      <c r="AM134" s="35" t="s">
        <v>879</v>
      </c>
      <c r="AN134" s="42">
        <f t="shared" si="87"/>
        <v>15334.940000000002</v>
      </c>
    </row>
    <row r="135" spans="1:40" s="37" customFormat="1" ht="57.6" x14ac:dyDescent="0.3">
      <c r="A135" s="37">
        <v>409</v>
      </c>
      <c r="B135" s="175" t="s">
        <v>906</v>
      </c>
      <c r="C135" s="35" t="s">
        <v>907</v>
      </c>
      <c r="D135" s="35">
        <v>3145</v>
      </c>
      <c r="E135" s="38">
        <v>44769</v>
      </c>
      <c r="F135" s="38">
        <v>45565</v>
      </c>
      <c r="G135" s="39">
        <f t="shared" si="78"/>
        <v>796</v>
      </c>
      <c r="H135" s="87">
        <f>IF(U135="Completed",1,($B$1-E135)/G135)</f>
        <v>1</v>
      </c>
      <c r="I135" s="41">
        <v>112657</v>
      </c>
      <c r="J135" s="41">
        <v>0</v>
      </c>
      <c r="K135" s="41">
        <v>0</v>
      </c>
      <c r="L135" s="42">
        <f t="shared" si="80"/>
        <v>112657</v>
      </c>
      <c r="M135" s="41">
        <v>112657</v>
      </c>
      <c r="N135" s="42">
        <f t="shared" si="81"/>
        <v>0</v>
      </c>
      <c r="O135" s="88">
        <v>112657</v>
      </c>
      <c r="P135" s="41" t="s">
        <v>908</v>
      </c>
      <c r="Q135" s="35" t="s">
        <v>909</v>
      </c>
      <c r="R135" s="35" t="s">
        <v>910</v>
      </c>
      <c r="S135" s="35" t="s">
        <v>910</v>
      </c>
      <c r="T135" s="160" t="s">
        <v>911</v>
      </c>
      <c r="U135" s="35" t="s">
        <v>26</v>
      </c>
      <c r="V135" s="88">
        <v>112657</v>
      </c>
      <c r="W135" s="95">
        <v>0</v>
      </c>
      <c r="X135" s="89">
        <f t="shared" si="82"/>
        <v>112657</v>
      </c>
      <c r="Y135" s="88">
        <v>107233.38</v>
      </c>
      <c r="Z135" s="88">
        <v>0</v>
      </c>
      <c r="AA135" s="90">
        <f t="shared" si="88"/>
        <v>107233.38</v>
      </c>
      <c r="AB135" s="91">
        <f t="shared" si="83"/>
        <v>0.95185723035408365</v>
      </c>
      <c r="AC135" s="96">
        <v>0</v>
      </c>
      <c r="AD135" s="90">
        <f t="shared" si="84"/>
        <v>112657</v>
      </c>
      <c r="AE135" s="42">
        <f t="shared" si="85"/>
        <v>0</v>
      </c>
      <c r="AF135" s="93">
        <f t="shared" si="86"/>
        <v>0</v>
      </c>
      <c r="AG135" s="45" t="s">
        <v>118</v>
      </c>
      <c r="AH135" s="81">
        <v>3115</v>
      </c>
      <c r="AI135" s="35" t="s">
        <v>21</v>
      </c>
      <c r="AJ135" s="35" t="s">
        <v>15</v>
      </c>
      <c r="AK135" s="35" t="s">
        <v>25</v>
      </c>
      <c r="AL135" s="35" t="s">
        <v>161</v>
      </c>
      <c r="AM135" s="35" t="s">
        <v>726</v>
      </c>
      <c r="AN135" s="42">
        <f t="shared" si="87"/>
        <v>5423.6199999999953</v>
      </c>
    </row>
    <row r="136" spans="1:40" s="37" customFormat="1" ht="72" x14ac:dyDescent="0.3">
      <c r="A136" s="37">
        <v>409</v>
      </c>
      <c r="B136" s="175" t="s">
        <v>912</v>
      </c>
      <c r="C136" s="35" t="s">
        <v>913</v>
      </c>
      <c r="D136" s="35">
        <v>3145</v>
      </c>
      <c r="E136" s="38">
        <v>44854</v>
      </c>
      <c r="F136" s="38">
        <v>46022</v>
      </c>
      <c r="G136" s="39">
        <f t="shared" si="78"/>
        <v>1168</v>
      </c>
      <c r="H136" s="87">
        <f t="shared" si="79"/>
        <v>0.7654109589041096</v>
      </c>
      <c r="I136" s="41">
        <v>6000000</v>
      </c>
      <c r="J136" s="41">
        <v>0</v>
      </c>
      <c r="K136" s="41">
        <v>0</v>
      </c>
      <c r="L136" s="42">
        <f t="shared" si="80"/>
        <v>6000000</v>
      </c>
      <c r="M136" s="41">
        <v>6000000</v>
      </c>
      <c r="N136" s="42">
        <f t="shared" si="81"/>
        <v>0</v>
      </c>
      <c r="O136" s="88">
        <v>6000000</v>
      </c>
      <c r="P136" s="41" t="s">
        <v>914</v>
      </c>
      <c r="Q136" s="35" t="s">
        <v>915</v>
      </c>
      <c r="R136" s="35" t="s">
        <v>915</v>
      </c>
      <c r="S136" s="35" t="s">
        <v>916</v>
      </c>
      <c r="T136" s="160" t="s">
        <v>917</v>
      </c>
      <c r="U136" s="35" t="s">
        <v>22</v>
      </c>
      <c r="V136" s="88">
        <v>6000000</v>
      </c>
      <c r="W136" s="95">
        <v>0</v>
      </c>
      <c r="X136" s="89">
        <f t="shared" si="82"/>
        <v>6000000</v>
      </c>
      <c r="Y136" s="88">
        <v>3687879.72</v>
      </c>
      <c r="Z136" s="88">
        <v>0</v>
      </c>
      <c r="AA136" s="90">
        <f t="shared" si="88"/>
        <v>3687879.72</v>
      </c>
      <c r="AB136" s="91">
        <f t="shared" si="83"/>
        <v>0.61464662000000003</v>
      </c>
      <c r="AC136" s="96">
        <v>0</v>
      </c>
      <c r="AD136" s="90">
        <f t="shared" si="84"/>
        <v>6000000</v>
      </c>
      <c r="AE136" s="42">
        <f t="shared" si="85"/>
        <v>0</v>
      </c>
      <c r="AF136" s="93">
        <f t="shared" si="86"/>
        <v>0</v>
      </c>
      <c r="AG136" s="45" t="s">
        <v>118</v>
      </c>
      <c r="AH136" s="35">
        <f>206+104</f>
        <v>310</v>
      </c>
      <c r="AI136" s="35" t="s">
        <v>21</v>
      </c>
      <c r="AJ136" s="35" t="s">
        <v>15</v>
      </c>
      <c r="AK136" s="35" t="s">
        <v>25</v>
      </c>
      <c r="AL136" s="35" t="s">
        <v>126</v>
      </c>
      <c r="AM136" s="37" t="s">
        <v>726</v>
      </c>
      <c r="AN136" s="42">
        <f t="shared" si="87"/>
        <v>2312120.2799999998</v>
      </c>
    </row>
    <row r="137" spans="1:40" s="37" customFormat="1" ht="43.2" x14ac:dyDescent="0.3">
      <c r="A137" s="37">
        <v>409</v>
      </c>
      <c r="B137" s="175" t="s">
        <v>918</v>
      </c>
      <c r="C137" s="35" t="s">
        <v>919</v>
      </c>
      <c r="D137" s="35">
        <v>3646</v>
      </c>
      <c r="E137" s="38">
        <v>44743</v>
      </c>
      <c r="F137" s="38">
        <v>45473</v>
      </c>
      <c r="G137" s="39">
        <f t="shared" si="78"/>
        <v>730</v>
      </c>
      <c r="H137" s="87">
        <f t="shared" si="79"/>
        <v>1</v>
      </c>
      <c r="I137" s="41">
        <v>1674380</v>
      </c>
      <c r="J137" s="41">
        <v>0</v>
      </c>
      <c r="K137" s="41">
        <v>0</v>
      </c>
      <c r="L137" s="42">
        <f t="shared" si="80"/>
        <v>1674380</v>
      </c>
      <c r="M137" s="41">
        <v>1674380</v>
      </c>
      <c r="N137" s="42">
        <f t="shared" si="81"/>
        <v>0</v>
      </c>
      <c r="O137" s="88">
        <v>1674380</v>
      </c>
      <c r="P137" s="45" t="s">
        <v>920</v>
      </c>
      <c r="Q137" s="35" t="s">
        <v>921</v>
      </c>
      <c r="R137" s="35" t="s">
        <v>922</v>
      </c>
      <c r="S137" s="35" t="s">
        <v>923</v>
      </c>
      <c r="T137" s="160" t="s">
        <v>924</v>
      </c>
      <c r="U137" s="35" t="s">
        <v>26</v>
      </c>
      <c r="V137" s="88">
        <v>1674380</v>
      </c>
      <c r="W137" s="95">
        <v>0</v>
      </c>
      <c r="X137" s="89">
        <f t="shared" si="82"/>
        <v>1674380</v>
      </c>
      <c r="Y137" s="88">
        <v>1674380</v>
      </c>
      <c r="Z137" s="88">
        <v>0</v>
      </c>
      <c r="AA137" s="90">
        <f t="shared" si="88"/>
        <v>1674380</v>
      </c>
      <c r="AB137" s="91">
        <f t="shared" si="83"/>
        <v>1</v>
      </c>
      <c r="AC137" s="96">
        <v>0</v>
      </c>
      <c r="AD137" s="90">
        <f t="shared" si="84"/>
        <v>1674380</v>
      </c>
      <c r="AE137" s="42">
        <f t="shared" si="85"/>
        <v>0</v>
      </c>
      <c r="AF137" s="93">
        <f t="shared" si="86"/>
        <v>0</v>
      </c>
      <c r="AG137" s="45" t="s">
        <v>118</v>
      </c>
      <c r="AH137" s="35" t="s">
        <v>21</v>
      </c>
      <c r="AI137" s="35" t="s">
        <v>21</v>
      </c>
      <c r="AJ137" s="35" t="s">
        <v>15</v>
      </c>
      <c r="AK137" s="35" t="s">
        <v>160</v>
      </c>
      <c r="AL137" s="35" t="s">
        <v>126</v>
      </c>
      <c r="AM137" s="37" t="s">
        <v>726</v>
      </c>
      <c r="AN137" s="42">
        <f t="shared" si="87"/>
        <v>0</v>
      </c>
    </row>
    <row r="138" spans="1:40" s="37" customFormat="1" ht="86.4" x14ac:dyDescent="0.3">
      <c r="A138" s="37">
        <v>409</v>
      </c>
      <c r="B138" s="175" t="s">
        <v>925</v>
      </c>
      <c r="C138" s="55" t="s">
        <v>926</v>
      </c>
      <c r="D138" s="35">
        <v>3145</v>
      </c>
      <c r="E138" s="38">
        <v>45219</v>
      </c>
      <c r="F138" s="38">
        <v>45716</v>
      </c>
      <c r="G138" s="39">
        <f t="shared" si="78"/>
        <v>497</v>
      </c>
      <c r="H138" s="87">
        <f t="shared" si="79"/>
        <v>1.0643863179074446</v>
      </c>
      <c r="I138" s="41">
        <v>1695060</v>
      </c>
      <c r="J138" s="41">
        <v>0</v>
      </c>
      <c r="K138" s="41">
        <v>0</v>
      </c>
      <c r="L138" s="42">
        <f t="shared" si="80"/>
        <v>1695060</v>
      </c>
      <c r="M138" s="41">
        <v>1695060</v>
      </c>
      <c r="N138" s="42">
        <f t="shared" si="81"/>
        <v>0</v>
      </c>
      <c r="O138" s="88">
        <v>1695060</v>
      </c>
      <c r="P138" s="41" t="s">
        <v>927</v>
      </c>
      <c r="Q138" s="35" t="s">
        <v>928</v>
      </c>
      <c r="R138" s="35" t="s">
        <v>929</v>
      </c>
      <c r="S138" s="35" t="s">
        <v>930</v>
      </c>
      <c r="T138" s="160" t="s">
        <v>931</v>
      </c>
      <c r="U138" s="35" t="s">
        <v>17</v>
      </c>
      <c r="V138" s="88">
        <v>1695060</v>
      </c>
      <c r="W138" s="95">
        <v>0</v>
      </c>
      <c r="X138" s="89">
        <f t="shared" si="82"/>
        <v>1695060</v>
      </c>
      <c r="Y138" s="88">
        <v>1449722</v>
      </c>
      <c r="Z138" s="88">
        <v>158269</v>
      </c>
      <c r="AA138" s="90">
        <f t="shared" si="88"/>
        <v>1607991</v>
      </c>
      <c r="AB138" s="91">
        <f t="shared" si="83"/>
        <v>0.94863367668401122</v>
      </c>
      <c r="AC138" s="96">
        <v>0</v>
      </c>
      <c r="AD138" s="90">
        <f t="shared" si="84"/>
        <v>1695060</v>
      </c>
      <c r="AE138" s="42">
        <f t="shared" si="85"/>
        <v>0</v>
      </c>
      <c r="AF138" s="93">
        <f t="shared" si="86"/>
        <v>0</v>
      </c>
      <c r="AG138" s="45" t="s">
        <v>118</v>
      </c>
      <c r="AH138" s="35">
        <v>60</v>
      </c>
      <c r="AI138" s="35" t="s">
        <v>21</v>
      </c>
      <c r="AJ138" s="35" t="s">
        <v>15</v>
      </c>
      <c r="AK138" s="35" t="s">
        <v>160</v>
      </c>
      <c r="AL138" s="35" t="s">
        <v>161</v>
      </c>
      <c r="AM138" s="35" t="s">
        <v>726</v>
      </c>
      <c r="AN138" s="42">
        <f t="shared" si="87"/>
        <v>87069</v>
      </c>
    </row>
    <row r="139" spans="1:40" s="37" customFormat="1" ht="72" x14ac:dyDescent="0.3">
      <c r="A139" s="37">
        <v>409</v>
      </c>
      <c r="B139" s="175" t="s">
        <v>932</v>
      </c>
      <c r="C139" s="35" t="s">
        <v>1099</v>
      </c>
      <c r="D139" s="35">
        <v>3145</v>
      </c>
      <c r="E139" s="38">
        <v>44769</v>
      </c>
      <c r="F139" s="38">
        <v>45657</v>
      </c>
      <c r="G139" s="39">
        <f t="shared" si="78"/>
        <v>888</v>
      </c>
      <c r="H139" s="87">
        <f t="shared" si="79"/>
        <v>1.1024774774774775</v>
      </c>
      <c r="I139" s="41">
        <v>485869</v>
      </c>
      <c r="J139" s="41">
        <v>0</v>
      </c>
      <c r="K139" s="41">
        <v>0</v>
      </c>
      <c r="L139" s="42">
        <f t="shared" si="80"/>
        <v>485869</v>
      </c>
      <c r="M139" s="41">
        <v>485869</v>
      </c>
      <c r="N139" s="42">
        <f t="shared" si="81"/>
        <v>0</v>
      </c>
      <c r="O139" s="88">
        <v>485869</v>
      </c>
      <c r="P139" s="41" t="s">
        <v>782</v>
      </c>
      <c r="Q139" s="35" t="s">
        <v>933</v>
      </c>
      <c r="R139" s="35" t="s">
        <v>933</v>
      </c>
      <c r="S139" s="35" t="s">
        <v>934</v>
      </c>
      <c r="T139" s="160" t="s">
        <v>935</v>
      </c>
      <c r="U139" s="35" t="s">
        <v>22</v>
      </c>
      <c r="V139" s="88">
        <v>485869</v>
      </c>
      <c r="W139" s="95">
        <v>0</v>
      </c>
      <c r="X139" s="89">
        <f t="shared" si="82"/>
        <v>485869</v>
      </c>
      <c r="Y139" s="88">
        <v>425545.59</v>
      </c>
      <c r="Z139" s="88">
        <v>0</v>
      </c>
      <c r="AA139" s="90">
        <f t="shared" si="88"/>
        <v>425545.59</v>
      </c>
      <c r="AB139" s="91">
        <f t="shared" si="83"/>
        <v>0.87584429136248665</v>
      </c>
      <c r="AC139" s="96">
        <v>0</v>
      </c>
      <c r="AD139" s="90">
        <f t="shared" si="84"/>
        <v>485869</v>
      </c>
      <c r="AE139" s="42">
        <f t="shared" si="85"/>
        <v>0</v>
      </c>
      <c r="AF139" s="93">
        <f t="shared" si="86"/>
        <v>0</v>
      </c>
      <c r="AG139" s="45" t="s">
        <v>118</v>
      </c>
      <c r="AH139" s="35">
        <v>120</v>
      </c>
      <c r="AI139" s="35" t="s">
        <v>21</v>
      </c>
      <c r="AJ139" s="35" t="s">
        <v>15</v>
      </c>
      <c r="AK139" s="35" t="s">
        <v>160</v>
      </c>
      <c r="AL139" s="35" t="s">
        <v>153</v>
      </c>
      <c r="AM139" s="35" t="s">
        <v>726</v>
      </c>
      <c r="AN139" s="42">
        <f t="shared" si="87"/>
        <v>60323.409999999974</v>
      </c>
    </row>
    <row r="140" spans="1:40" s="37" customFormat="1" ht="115.2" x14ac:dyDescent="0.3">
      <c r="A140" s="37">
        <v>409</v>
      </c>
      <c r="B140" s="175" t="s">
        <v>936</v>
      </c>
      <c r="C140" s="35" t="s">
        <v>937</v>
      </c>
      <c r="D140" s="35">
        <v>3646</v>
      </c>
      <c r="E140" s="38">
        <v>44791</v>
      </c>
      <c r="F140" s="38">
        <v>45473</v>
      </c>
      <c r="G140" s="39">
        <f t="shared" si="78"/>
        <v>682</v>
      </c>
      <c r="H140" s="87">
        <f t="shared" si="79"/>
        <v>1</v>
      </c>
      <c r="I140" s="41">
        <f>139886+160680</f>
        <v>300566</v>
      </c>
      <c r="J140" s="41">
        <f>-133926-104443-21389</f>
        <v>-259758</v>
      </c>
      <c r="K140" s="41">
        <v>0</v>
      </c>
      <c r="L140" s="42">
        <f t="shared" si="80"/>
        <v>40808</v>
      </c>
      <c r="M140" s="41">
        <v>40808</v>
      </c>
      <c r="N140" s="42">
        <f t="shared" si="81"/>
        <v>0</v>
      </c>
      <c r="O140" s="88">
        <f>139886+160680</f>
        <v>300566</v>
      </c>
      <c r="P140" s="41" t="s">
        <v>938</v>
      </c>
      <c r="Q140" s="35" t="s">
        <v>939</v>
      </c>
      <c r="R140" s="35" t="s">
        <v>904</v>
      </c>
      <c r="S140" s="35" t="s">
        <v>905</v>
      </c>
      <c r="T140" s="160" t="s">
        <v>889</v>
      </c>
      <c r="U140" s="35" t="s">
        <v>26</v>
      </c>
      <c r="V140" s="88">
        <v>35581.15</v>
      </c>
      <c r="W140" s="95">
        <v>0</v>
      </c>
      <c r="X140" s="89">
        <f t="shared" si="82"/>
        <v>35581.15</v>
      </c>
      <c r="Y140" s="88">
        <v>35581.15</v>
      </c>
      <c r="Z140" s="88">
        <v>0</v>
      </c>
      <c r="AA140" s="90">
        <f t="shared" si="88"/>
        <v>35581.15</v>
      </c>
      <c r="AB140" s="91">
        <f t="shared" si="83"/>
        <v>0.11838048881110971</v>
      </c>
      <c r="AC140" s="41">
        <f>-133926-104443-21389</f>
        <v>-259758</v>
      </c>
      <c r="AD140" s="90">
        <f t="shared" si="84"/>
        <v>40808</v>
      </c>
      <c r="AE140" s="42">
        <f t="shared" si="85"/>
        <v>0</v>
      </c>
      <c r="AF140" s="93">
        <f t="shared" si="86"/>
        <v>5226.8499999999985</v>
      </c>
      <c r="AG140" s="41" t="s">
        <v>822</v>
      </c>
      <c r="AH140" s="35" t="s">
        <v>21</v>
      </c>
      <c r="AI140" s="35" t="s">
        <v>21</v>
      </c>
      <c r="AJ140" s="35" t="s">
        <v>15</v>
      </c>
      <c r="AK140" s="35" t="s">
        <v>160</v>
      </c>
      <c r="AL140" s="35" t="s">
        <v>126</v>
      </c>
      <c r="AM140" s="35" t="s">
        <v>879</v>
      </c>
      <c r="AN140" s="42">
        <f t="shared" si="87"/>
        <v>5226.8499999999985</v>
      </c>
    </row>
    <row r="141" spans="1:40" s="37" customFormat="1" ht="57.6" x14ac:dyDescent="0.3">
      <c r="A141" s="37">
        <v>409</v>
      </c>
      <c r="B141" s="175" t="s">
        <v>940</v>
      </c>
      <c r="C141" s="35" t="s">
        <v>941</v>
      </c>
      <c r="D141" s="35">
        <v>3142</v>
      </c>
      <c r="E141" s="38">
        <v>44927</v>
      </c>
      <c r="F141" s="38">
        <v>45291</v>
      </c>
      <c r="G141" s="39">
        <f t="shared" si="78"/>
        <v>364</v>
      </c>
      <c r="H141" s="87">
        <f t="shared" si="79"/>
        <v>1</v>
      </c>
      <c r="I141" s="41">
        <v>1275028</v>
      </c>
      <c r="J141" s="41">
        <v>-200228</v>
      </c>
      <c r="K141" s="41">
        <v>0</v>
      </c>
      <c r="L141" s="42">
        <f t="shared" si="80"/>
        <v>1074800</v>
      </c>
      <c r="M141" s="41">
        <v>1074800</v>
      </c>
      <c r="N141" s="42">
        <f t="shared" si="81"/>
        <v>0</v>
      </c>
      <c r="O141" s="88">
        <v>1275028</v>
      </c>
      <c r="P141" s="45" t="s">
        <v>942</v>
      </c>
      <c r="Q141" s="35" t="s">
        <v>943</v>
      </c>
      <c r="R141" s="35" t="s">
        <v>944</v>
      </c>
      <c r="S141" s="35" t="s">
        <v>943</v>
      </c>
      <c r="T141" s="160" t="s">
        <v>945</v>
      </c>
      <c r="U141" s="35" t="s">
        <v>26</v>
      </c>
      <c r="V141" s="88">
        <v>1074800</v>
      </c>
      <c r="W141" s="95">
        <v>0</v>
      </c>
      <c r="X141" s="89">
        <f t="shared" si="82"/>
        <v>1074800</v>
      </c>
      <c r="Y141" s="88">
        <v>1074800</v>
      </c>
      <c r="Z141" s="88">
        <v>0</v>
      </c>
      <c r="AA141" s="90">
        <f t="shared" si="88"/>
        <v>1074800</v>
      </c>
      <c r="AB141" s="91">
        <f t="shared" si="83"/>
        <v>0.84296188005283024</v>
      </c>
      <c r="AC141" s="98">
        <v>-200228</v>
      </c>
      <c r="AD141" s="90">
        <f t="shared" si="84"/>
        <v>1074800</v>
      </c>
      <c r="AE141" s="42">
        <f t="shared" si="85"/>
        <v>0</v>
      </c>
      <c r="AF141" s="93">
        <f t="shared" si="86"/>
        <v>0</v>
      </c>
      <c r="AG141" s="45" t="s">
        <v>118</v>
      </c>
      <c r="AH141" s="35">
        <v>352</v>
      </c>
      <c r="AI141" s="35" t="s">
        <v>21</v>
      </c>
      <c r="AJ141" s="35" t="s">
        <v>15</v>
      </c>
      <c r="AK141" s="35" t="s">
        <v>160</v>
      </c>
      <c r="AL141" s="35" t="s">
        <v>153</v>
      </c>
      <c r="AM141" s="35" t="s">
        <v>726</v>
      </c>
      <c r="AN141" s="42">
        <f t="shared" si="87"/>
        <v>0</v>
      </c>
    </row>
    <row r="142" spans="1:40" s="37" customFormat="1" ht="57.6" x14ac:dyDescent="0.3">
      <c r="A142" s="37">
        <v>409</v>
      </c>
      <c r="B142" s="175" t="s">
        <v>946</v>
      </c>
      <c r="C142" s="35" t="s">
        <v>947</v>
      </c>
      <c r="D142" s="35">
        <v>3141</v>
      </c>
      <c r="E142" s="38">
        <v>44927</v>
      </c>
      <c r="F142" s="38">
        <v>45657</v>
      </c>
      <c r="G142" s="39">
        <f t="shared" si="78"/>
        <v>730</v>
      </c>
      <c r="H142" s="87">
        <f t="shared" si="79"/>
        <v>1</v>
      </c>
      <c r="I142" s="41">
        <v>344182</v>
      </c>
      <c r="J142" s="41">
        <v>-37462</v>
      </c>
      <c r="K142" s="41"/>
      <c r="L142" s="42">
        <f t="shared" si="80"/>
        <v>306720</v>
      </c>
      <c r="M142" s="41">
        <v>306720</v>
      </c>
      <c r="N142" s="42">
        <f t="shared" si="81"/>
        <v>0</v>
      </c>
      <c r="O142" s="88">
        <v>344182</v>
      </c>
      <c r="P142" s="45" t="s">
        <v>948</v>
      </c>
      <c r="Q142" s="35" t="s">
        <v>943</v>
      </c>
      <c r="R142" s="35" t="s">
        <v>943</v>
      </c>
      <c r="S142" s="35" t="s">
        <v>943</v>
      </c>
      <c r="T142" s="160" t="s">
        <v>945</v>
      </c>
      <c r="U142" s="35" t="s">
        <v>26</v>
      </c>
      <c r="V142" s="88">
        <v>306720</v>
      </c>
      <c r="W142" s="95"/>
      <c r="X142" s="89">
        <f t="shared" si="82"/>
        <v>306720</v>
      </c>
      <c r="Y142" s="88">
        <v>306720</v>
      </c>
      <c r="Z142" s="88">
        <v>0</v>
      </c>
      <c r="AA142" s="90">
        <f t="shared" si="88"/>
        <v>306720</v>
      </c>
      <c r="AB142" s="91">
        <f t="shared" si="83"/>
        <v>0.89115642305524401</v>
      </c>
      <c r="AC142" s="98">
        <v>-37462</v>
      </c>
      <c r="AD142" s="90">
        <f t="shared" si="84"/>
        <v>306720</v>
      </c>
      <c r="AE142" s="42">
        <f t="shared" si="85"/>
        <v>0</v>
      </c>
      <c r="AF142" s="93">
        <f t="shared" si="86"/>
        <v>0</v>
      </c>
      <c r="AG142" s="45" t="s">
        <v>118</v>
      </c>
      <c r="AH142" s="35">
        <v>94</v>
      </c>
      <c r="AI142" s="35" t="s">
        <v>21</v>
      </c>
      <c r="AJ142" s="35" t="s">
        <v>15</v>
      </c>
      <c r="AK142" s="35" t="s">
        <v>641</v>
      </c>
      <c r="AL142" s="35" t="s">
        <v>153</v>
      </c>
      <c r="AM142" s="35" t="s">
        <v>726</v>
      </c>
      <c r="AN142" s="42">
        <f t="shared" si="87"/>
        <v>0</v>
      </c>
    </row>
    <row r="143" spans="1:40" s="37" customFormat="1" ht="57.6" x14ac:dyDescent="0.3">
      <c r="A143" s="37">
        <v>409</v>
      </c>
      <c r="B143" s="175" t="s">
        <v>949</v>
      </c>
      <c r="C143" s="55" t="s">
        <v>950</v>
      </c>
      <c r="D143" s="35">
        <v>3145</v>
      </c>
      <c r="E143" s="38">
        <v>44854</v>
      </c>
      <c r="F143" s="38">
        <v>45218</v>
      </c>
      <c r="G143" s="39">
        <f t="shared" si="78"/>
        <v>364</v>
      </c>
      <c r="H143" s="87">
        <f t="shared" si="79"/>
        <v>1</v>
      </c>
      <c r="I143" s="41">
        <v>500000</v>
      </c>
      <c r="J143" s="41">
        <v>-500000</v>
      </c>
      <c r="K143" s="41">
        <v>0</v>
      </c>
      <c r="L143" s="42">
        <f t="shared" si="80"/>
        <v>0</v>
      </c>
      <c r="M143" s="41">
        <v>0</v>
      </c>
      <c r="N143" s="42">
        <f t="shared" si="81"/>
        <v>0</v>
      </c>
      <c r="O143" s="88">
        <v>500000</v>
      </c>
      <c r="P143" s="41" t="s">
        <v>951</v>
      </c>
      <c r="Q143" s="35" t="s">
        <v>952</v>
      </c>
      <c r="R143" s="35" t="s">
        <v>953</v>
      </c>
      <c r="S143" s="35" t="s">
        <v>953</v>
      </c>
      <c r="T143" s="160" t="s">
        <v>954</v>
      </c>
      <c r="U143" s="35" t="s">
        <v>26</v>
      </c>
      <c r="V143" s="88">
        <v>0</v>
      </c>
      <c r="W143" s="95"/>
      <c r="X143" s="89">
        <f t="shared" si="82"/>
        <v>0</v>
      </c>
      <c r="Y143" s="88">
        <v>0</v>
      </c>
      <c r="Z143" s="88">
        <v>0</v>
      </c>
      <c r="AA143" s="90">
        <f t="shared" si="88"/>
        <v>0</v>
      </c>
      <c r="AB143" s="91">
        <f t="shared" si="83"/>
        <v>0</v>
      </c>
      <c r="AC143" s="98">
        <v>-500000</v>
      </c>
      <c r="AD143" s="90">
        <f t="shared" si="84"/>
        <v>0</v>
      </c>
      <c r="AE143" s="42">
        <f t="shared" si="85"/>
        <v>0</v>
      </c>
      <c r="AF143" s="93">
        <f t="shared" si="86"/>
        <v>0</v>
      </c>
      <c r="AG143" s="45" t="s">
        <v>118</v>
      </c>
      <c r="AH143" s="35" t="s">
        <v>21</v>
      </c>
      <c r="AI143" s="35" t="s">
        <v>21</v>
      </c>
      <c r="AJ143" s="35" t="s">
        <v>15</v>
      </c>
      <c r="AK143" s="35" t="s">
        <v>25</v>
      </c>
      <c r="AL143" s="35" t="s">
        <v>133</v>
      </c>
      <c r="AM143" s="102" t="s">
        <v>954</v>
      </c>
      <c r="AN143" s="42">
        <f t="shared" si="87"/>
        <v>0</v>
      </c>
    </row>
    <row r="144" spans="1:40" s="37" customFormat="1" ht="100.8" x14ac:dyDescent="0.3">
      <c r="A144" s="37">
        <v>409</v>
      </c>
      <c r="B144" s="175" t="s">
        <v>955</v>
      </c>
      <c r="C144" s="35" t="s">
        <v>956</v>
      </c>
      <c r="D144" s="35" t="s">
        <v>957</v>
      </c>
      <c r="E144" s="38">
        <v>44791</v>
      </c>
      <c r="F144" s="38">
        <v>45838</v>
      </c>
      <c r="G144" s="39">
        <f t="shared" si="78"/>
        <v>1047</v>
      </c>
      <c r="H144" s="87">
        <f t="shared" si="79"/>
        <v>1</v>
      </c>
      <c r="I144" s="41">
        <v>2041322</v>
      </c>
      <c r="J144" s="41">
        <v>-1856496</v>
      </c>
      <c r="K144" s="41">
        <v>0</v>
      </c>
      <c r="L144" s="42">
        <f t="shared" si="80"/>
        <v>184826</v>
      </c>
      <c r="M144" s="41">
        <v>184826</v>
      </c>
      <c r="N144" s="42">
        <f t="shared" si="81"/>
        <v>0</v>
      </c>
      <c r="O144" s="88">
        <v>2041322</v>
      </c>
      <c r="P144" s="41" t="s">
        <v>958</v>
      </c>
      <c r="Q144" s="35" t="s">
        <v>959</v>
      </c>
      <c r="R144" s="35" t="s">
        <v>960</v>
      </c>
      <c r="S144" s="35" t="s">
        <v>961</v>
      </c>
      <c r="T144" s="160" t="s">
        <v>962</v>
      </c>
      <c r="U144" s="35" t="s">
        <v>26</v>
      </c>
      <c r="V144" s="88">
        <v>184826</v>
      </c>
      <c r="W144" s="95"/>
      <c r="X144" s="89">
        <f t="shared" si="82"/>
        <v>184826</v>
      </c>
      <c r="Y144" s="88">
        <v>184826</v>
      </c>
      <c r="Z144" s="88">
        <v>0</v>
      </c>
      <c r="AA144" s="90">
        <f t="shared" si="88"/>
        <v>184826</v>
      </c>
      <c r="AB144" s="91">
        <f t="shared" si="83"/>
        <v>9.0542305427561157E-2</v>
      </c>
      <c r="AC144" s="98">
        <v>-1856496</v>
      </c>
      <c r="AD144" s="90">
        <f t="shared" si="84"/>
        <v>184826</v>
      </c>
      <c r="AE144" s="42">
        <f t="shared" si="85"/>
        <v>0</v>
      </c>
      <c r="AF144" s="93">
        <f t="shared" si="86"/>
        <v>0</v>
      </c>
      <c r="AG144" s="45" t="s">
        <v>118</v>
      </c>
      <c r="AH144" s="35" t="s">
        <v>21</v>
      </c>
      <c r="AI144" s="35" t="s">
        <v>21</v>
      </c>
      <c r="AJ144" s="35" t="s">
        <v>15</v>
      </c>
      <c r="AK144" s="35" t="s">
        <v>25</v>
      </c>
      <c r="AL144" s="35" t="s">
        <v>126</v>
      </c>
      <c r="AM144" s="99" t="s">
        <v>963</v>
      </c>
      <c r="AN144" s="42">
        <f t="shared" si="87"/>
        <v>0</v>
      </c>
    </row>
    <row r="145" spans="1:41" s="37" customFormat="1" ht="100.8" x14ac:dyDescent="0.3">
      <c r="A145" s="37">
        <v>409</v>
      </c>
      <c r="B145" s="175" t="s">
        <v>964</v>
      </c>
      <c r="C145" s="55" t="s">
        <v>965</v>
      </c>
      <c r="D145" s="35" t="s">
        <v>957</v>
      </c>
      <c r="E145" s="38">
        <v>44791</v>
      </c>
      <c r="F145" s="38">
        <v>45535</v>
      </c>
      <c r="G145" s="39">
        <f t="shared" si="78"/>
        <v>744</v>
      </c>
      <c r="H145" s="87">
        <f t="shared" si="79"/>
        <v>1</v>
      </c>
      <c r="I145" s="41">
        <v>2433016</v>
      </c>
      <c r="J145" s="41">
        <f>-964355-162587.52</f>
        <v>-1126942.52</v>
      </c>
      <c r="K145" s="41">
        <v>0</v>
      </c>
      <c r="L145" s="42">
        <f>I145+J145+K145</f>
        <v>1306073.48</v>
      </c>
      <c r="M145" s="41">
        <f>1468661-162587.52</f>
        <v>1306073.48</v>
      </c>
      <c r="N145" s="42">
        <f t="shared" si="81"/>
        <v>0</v>
      </c>
      <c r="O145" s="88">
        <f>766935+1666081</f>
        <v>2433016</v>
      </c>
      <c r="P145" s="41" t="s">
        <v>826</v>
      </c>
      <c r="Q145" s="35" t="s">
        <v>966</v>
      </c>
      <c r="R145" s="35" t="s">
        <v>960</v>
      </c>
      <c r="S145" s="35" t="s">
        <v>961</v>
      </c>
      <c r="T145" s="160" t="s">
        <v>967</v>
      </c>
      <c r="U145" s="35" t="s">
        <v>26</v>
      </c>
      <c r="V145" s="88">
        <v>1306073.48</v>
      </c>
      <c r="W145" s="88"/>
      <c r="X145" s="89">
        <f t="shared" si="82"/>
        <v>1306073.48</v>
      </c>
      <c r="Y145" s="88">
        <v>1306073.48</v>
      </c>
      <c r="Z145" s="88">
        <v>0</v>
      </c>
      <c r="AA145" s="90">
        <f t="shared" si="88"/>
        <v>1306073.48</v>
      </c>
      <c r="AB145" s="91">
        <f t="shared" si="83"/>
        <v>0.53681253226448156</v>
      </c>
      <c r="AC145" s="96">
        <f>-964355-162587.52</f>
        <v>-1126942.52</v>
      </c>
      <c r="AD145" s="90">
        <f t="shared" si="84"/>
        <v>1306073.48</v>
      </c>
      <c r="AE145" s="42">
        <f t="shared" si="85"/>
        <v>0</v>
      </c>
      <c r="AF145" s="93">
        <f t="shared" si="86"/>
        <v>0</v>
      </c>
      <c r="AG145" s="45" t="s">
        <v>118</v>
      </c>
      <c r="AH145" s="35" t="s">
        <v>21</v>
      </c>
      <c r="AI145" s="35" t="s">
        <v>21</v>
      </c>
      <c r="AJ145" s="35" t="s">
        <v>15</v>
      </c>
      <c r="AK145" s="35" t="s">
        <v>25</v>
      </c>
      <c r="AL145" s="35" t="s">
        <v>126</v>
      </c>
      <c r="AM145" s="103" t="s">
        <v>75</v>
      </c>
      <c r="AN145" s="42">
        <f t="shared" si="87"/>
        <v>0</v>
      </c>
    </row>
    <row r="146" spans="1:41" s="37" customFormat="1" ht="111.75" customHeight="1" x14ac:dyDescent="0.3">
      <c r="A146" s="37">
        <v>409</v>
      </c>
      <c r="B146" s="175" t="s">
        <v>968</v>
      </c>
      <c r="C146" s="55" t="s">
        <v>969</v>
      </c>
      <c r="D146" s="35">
        <v>3145</v>
      </c>
      <c r="E146" s="38">
        <v>45474</v>
      </c>
      <c r="F146" s="38">
        <v>46446</v>
      </c>
      <c r="G146" s="39">
        <f t="shared" si="78"/>
        <v>972</v>
      </c>
      <c r="H146" s="87">
        <f t="shared" si="79"/>
        <v>0.28189300411522633</v>
      </c>
      <c r="I146" s="41">
        <v>1014987</v>
      </c>
      <c r="J146" s="41">
        <v>232771</v>
      </c>
      <c r="K146" s="41">
        <v>0</v>
      </c>
      <c r="L146" s="42">
        <f t="shared" si="80"/>
        <v>1247758</v>
      </c>
      <c r="M146" s="41">
        <v>1247758</v>
      </c>
      <c r="N146" s="42">
        <f t="shared" si="81"/>
        <v>0</v>
      </c>
      <c r="O146" s="88">
        <v>1014987</v>
      </c>
      <c r="P146" s="41" t="s">
        <v>970</v>
      </c>
      <c r="Q146" s="35" t="s">
        <v>971</v>
      </c>
      <c r="R146" s="35" t="s">
        <v>972</v>
      </c>
      <c r="S146" s="35" t="s">
        <v>961</v>
      </c>
      <c r="T146" s="160" t="s">
        <v>973</v>
      </c>
      <c r="U146" s="35" t="s">
        <v>17</v>
      </c>
      <c r="V146" s="88">
        <v>1247758</v>
      </c>
      <c r="W146" s="88"/>
      <c r="X146" s="89">
        <f t="shared" si="82"/>
        <v>1247758</v>
      </c>
      <c r="Y146" s="88">
        <v>393497.15</v>
      </c>
      <c r="Z146" s="88">
        <v>46582.17</v>
      </c>
      <c r="AA146" s="90">
        <f t="shared" si="88"/>
        <v>440079.32</v>
      </c>
      <c r="AB146" s="91">
        <f t="shared" si="83"/>
        <v>0.43358123798629933</v>
      </c>
      <c r="AC146" s="96">
        <v>232771</v>
      </c>
      <c r="AD146" s="90">
        <f>O146+AC146</f>
        <v>1247758</v>
      </c>
      <c r="AE146" s="42">
        <f t="shared" si="85"/>
        <v>0</v>
      </c>
      <c r="AF146" s="93">
        <f t="shared" si="86"/>
        <v>0</v>
      </c>
      <c r="AG146" s="45" t="s">
        <v>118</v>
      </c>
      <c r="AH146" s="35" t="s">
        <v>21</v>
      </c>
      <c r="AI146" s="35" t="s">
        <v>21</v>
      </c>
      <c r="AJ146" s="35" t="s">
        <v>15</v>
      </c>
      <c r="AK146" s="35" t="s">
        <v>25</v>
      </c>
      <c r="AL146" s="35" t="s">
        <v>126</v>
      </c>
      <c r="AM146" s="103"/>
      <c r="AN146" s="42">
        <f>AD146-AA146</f>
        <v>807678.67999999993</v>
      </c>
    </row>
    <row r="147" spans="1:41" s="37" customFormat="1" ht="100.8" x14ac:dyDescent="0.3">
      <c r="A147" s="37">
        <v>409</v>
      </c>
      <c r="B147" s="175" t="s">
        <v>974</v>
      </c>
      <c r="C147" s="55" t="s">
        <v>975</v>
      </c>
      <c r="D147" s="35">
        <v>3146</v>
      </c>
      <c r="E147" s="38">
        <v>45474</v>
      </c>
      <c r="F147" s="38">
        <v>46446</v>
      </c>
      <c r="G147" s="39">
        <f t="shared" si="78"/>
        <v>972</v>
      </c>
      <c r="H147" s="87">
        <f t="shared" si="79"/>
        <v>0.28189300411522633</v>
      </c>
      <c r="I147" s="41">
        <v>1499500</v>
      </c>
      <c r="J147" s="41">
        <v>-232771</v>
      </c>
      <c r="K147" s="41">
        <v>0</v>
      </c>
      <c r="L147" s="42">
        <f t="shared" si="80"/>
        <v>1266729</v>
      </c>
      <c r="M147" s="41">
        <v>1266729</v>
      </c>
      <c r="N147" s="42">
        <f t="shared" si="81"/>
        <v>0</v>
      </c>
      <c r="O147" s="88">
        <v>1499500</v>
      </c>
      <c r="P147" s="41" t="s">
        <v>976</v>
      </c>
      <c r="Q147" s="35" t="s">
        <v>977</v>
      </c>
      <c r="R147" s="35" t="s">
        <v>960</v>
      </c>
      <c r="S147" s="35" t="s">
        <v>961</v>
      </c>
      <c r="T147" s="160" t="s">
        <v>978</v>
      </c>
      <c r="U147" s="35" t="s">
        <v>17</v>
      </c>
      <c r="V147" s="88">
        <v>1499500</v>
      </c>
      <c r="W147" s="88"/>
      <c r="X147" s="89">
        <f t="shared" si="82"/>
        <v>1499500</v>
      </c>
      <c r="Y147" s="88">
        <v>596493.68999999994</v>
      </c>
      <c r="Z147" s="88">
        <v>64166.5</v>
      </c>
      <c r="AA147" s="90">
        <f t="shared" si="88"/>
        <v>660660.18999999994</v>
      </c>
      <c r="AB147" s="91">
        <f t="shared" si="83"/>
        <v>0.44058698899633209</v>
      </c>
      <c r="AC147" s="96">
        <v>-232771</v>
      </c>
      <c r="AD147" s="90">
        <f t="shared" si="84"/>
        <v>1266729</v>
      </c>
      <c r="AE147" s="42">
        <f t="shared" si="85"/>
        <v>0</v>
      </c>
      <c r="AF147" s="93">
        <f t="shared" si="86"/>
        <v>-232771</v>
      </c>
      <c r="AG147" s="45" t="s">
        <v>118</v>
      </c>
      <c r="AH147" s="35" t="s">
        <v>21</v>
      </c>
      <c r="AI147" s="35" t="s">
        <v>21</v>
      </c>
      <c r="AJ147" s="35" t="s">
        <v>15</v>
      </c>
      <c r="AK147" s="35" t="s">
        <v>25</v>
      </c>
      <c r="AL147" s="35" t="s">
        <v>126</v>
      </c>
      <c r="AM147" s="103"/>
      <c r="AN147" s="42">
        <f t="shared" si="87"/>
        <v>606068.81000000006</v>
      </c>
      <c r="AO147" s="121"/>
    </row>
    <row r="148" spans="1:41" s="37" customFormat="1" ht="57.6" x14ac:dyDescent="0.3">
      <c r="A148" s="37">
        <v>409</v>
      </c>
      <c r="B148" s="175" t="s">
        <v>979</v>
      </c>
      <c r="C148" s="35" t="s">
        <v>980</v>
      </c>
      <c r="D148" s="35">
        <v>3145</v>
      </c>
      <c r="E148" s="38">
        <v>44791</v>
      </c>
      <c r="F148" s="38">
        <v>45657</v>
      </c>
      <c r="G148" s="39">
        <f t="shared" si="78"/>
        <v>866</v>
      </c>
      <c r="H148" s="87">
        <f t="shared" si="79"/>
        <v>1</v>
      </c>
      <c r="I148" s="41">
        <v>400000</v>
      </c>
      <c r="J148" s="41">
        <v>0</v>
      </c>
      <c r="K148" s="41">
        <v>0</v>
      </c>
      <c r="L148" s="42">
        <f t="shared" si="80"/>
        <v>400000</v>
      </c>
      <c r="M148" s="41">
        <v>400000</v>
      </c>
      <c r="N148" s="42">
        <f t="shared" si="81"/>
        <v>0</v>
      </c>
      <c r="O148" s="88">
        <v>400000</v>
      </c>
      <c r="P148" s="41" t="s">
        <v>981</v>
      </c>
      <c r="Q148" s="35" t="s">
        <v>982</v>
      </c>
      <c r="R148" s="35" t="s">
        <v>983</v>
      </c>
      <c r="S148" s="35" t="s">
        <v>984</v>
      </c>
      <c r="T148" s="160" t="s">
        <v>924</v>
      </c>
      <c r="U148" s="35" t="s">
        <v>26</v>
      </c>
      <c r="V148" s="88">
        <v>400000</v>
      </c>
      <c r="W148" s="95"/>
      <c r="X148" s="89">
        <f t="shared" si="82"/>
        <v>400000</v>
      </c>
      <c r="Y148" s="88">
        <v>400000</v>
      </c>
      <c r="Z148" s="88">
        <v>0</v>
      </c>
      <c r="AA148" s="90">
        <f t="shared" si="88"/>
        <v>400000</v>
      </c>
      <c r="AB148" s="91">
        <f t="shared" si="83"/>
        <v>1</v>
      </c>
      <c r="AC148" s="96">
        <v>0</v>
      </c>
      <c r="AD148" s="90">
        <f t="shared" si="84"/>
        <v>400000</v>
      </c>
      <c r="AE148" s="42">
        <f t="shared" si="85"/>
        <v>0</v>
      </c>
      <c r="AF148" s="93">
        <f t="shared" si="86"/>
        <v>0</v>
      </c>
      <c r="AG148" s="45" t="s">
        <v>118</v>
      </c>
      <c r="AH148" s="35" t="s">
        <v>21</v>
      </c>
      <c r="AI148" s="35" t="s">
        <v>21</v>
      </c>
      <c r="AJ148" s="35" t="s">
        <v>15</v>
      </c>
      <c r="AK148" s="35" t="s">
        <v>160</v>
      </c>
      <c r="AL148" s="35" t="s">
        <v>119</v>
      </c>
      <c r="AM148" s="102" t="s">
        <v>75</v>
      </c>
      <c r="AN148" s="42">
        <f t="shared" si="87"/>
        <v>0</v>
      </c>
    </row>
    <row r="149" spans="1:41" s="37" customFormat="1" ht="409.6" x14ac:dyDescent="0.3">
      <c r="A149" s="37">
        <v>409</v>
      </c>
      <c r="B149" s="175" t="s">
        <v>985</v>
      </c>
      <c r="C149" s="35" t="s">
        <v>986</v>
      </c>
      <c r="D149" s="35">
        <v>3143</v>
      </c>
      <c r="E149" s="38">
        <v>44854</v>
      </c>
      <c r="F149" s="38">
        <v>45838</v>
      </c>
      <c r="G149" s="39">
        <f t="shared" si="78"/>
        <v>984</v>
      </c>
      <c r="H149" s="87">
        <f t="shared" si="79"/>
        <v>0.90853658536585369</v>
      </c>
      <c r="I149" s="41">
        <v>18370000</v>
      </c>
      <c r="J149" s="41">
        <v>0</v>
      </c>
      <c r="K149" s="41">
        <v>0</v>
      </c>
      <c r="L149" s="42">
        <f t="shared" si="80"/>
        <v>18370000</v>
      </c>
      <c r="M149" s="41">
        <v>18370000</v>
      </c>
      <c r="N149" s="42">
        <f t="shared" si="81"/>
        <v>0</v>
      </c>
      <c r="O149" s="88">
        <v>18370000</v>
      </c>
      <c r="P149" s="41" t="s">
        <v>987</v>
      </c>
      <c r="Q149" s="35" t="s">
        <v>988</v>
      </c>
      <c r="R149" s="35" t="s">
        <v>989</v>
      </c>
      <c r="S149" s="35" t="s">
        <v>989</v>
      </c>
      <c r="T149" s="160" t="s">
        <v>990</v>
      </c>
      <c r="U149" s="35" t="s">
        <v>17</v>
      </c>
      <c r="V149" s="172">
        <v>849894.32</v>
      </c>
      <c r="W149" s="95"/>
      <c r="X149" s="89">
        <f>V149+W149</f>
        <v>849894.32</v>
      </c>
      <c r="Y149" s="88">
        <v>258264.3</v>
      </c>
      <c r="Z149" s="88">
        <v>375060</v>
      </c>
      <c r="AA149" s="90">
        <f t="shared" si="88"/>
        <v>633324.30000000005</v>
      </c>
      <c r="AB149" s="91">
        <f t="shared" si="83"/>
        <v>3.4476009798584652E-2</v>
      </c>
      <c r="AC149" s="96">
        <v>0</v>
      </c>
      <c r="AD149" s="90">
        <f t="shared" si="84"/>
        <v>18370000</v>
      </c>
      <c r="AE149" s="42">
        <f t="shared" si="85"/>
        <v>0</v>
      </c>
      <c r="AF149" s="93">
        <f t="shared" si="86"/>
        <v>17520105.68</v>
      </c>
      <c r="AG149" s="45" t="s">
        <v>118</v>
      </c>
      <c r="AH149" s="35" t="s">
        <v>21</v>
      </c>
      <c r="AI149" s="35" t="s">
        <v>21</v>
      </c>
      <c r="AJ149" s="35" t="s">
        <v>15</v>
      </c>
      <c r="AK149" s="35" t="s">
        <v>25</v>
      </c>
      <c r="AL149" s="35" t="s">
        <v>119</v>
      </c>
      <c r="AM149" s="35"/>
      <c r="AN149" s="42">
        <f t="shared" si="87"/>
        <v>17736675.699999999</v>
      </c>
    </row>
    <row r="150" spans="1:41" s="37" customFormat="1" ht="72" x14ac:dyDescent="0.3">
      <c r="A150" s="37">
        <v>409</v>
      </c>
      <c r="B150" s="175" t="s">
        <v>991</v>
      </c>
      <c r="C150" s="35" t="s">
        <v>992</v>
      </c>
      <c r="D150" s="35">
        <v>3146</v>
      </c>
      <c r="E150" s="38">
        <v>44791</v>
      </c>
      <c r="F150" s="38">
        <v>46387</v>
      </c>
      <c r="G150" s="39">
        <f t="shared" si="78"/>
        <v>1596</v>
      </c>
      <c r="H150" s="87">
        <f t="shared" si="79"/>
        <v>0.59962406015037595</v>
      </c>
      <c r="I150" s="41">
        <v>14650032</v>
      </c>
      <c r="J150" s="41">
        <v>-348</v>
      </c>
      <c r="K150" s="41">
        <v>1718114.7</v>
      </c>
      <c r="L150" s="42">
        <f t="shared" si="80"/>
        <v>16367798.699999999</v>
      </c>
      <c r="M150" s="41">
        <v>14650032</v>
      </c>
      <c r="N150" s="42">
        <f t="shared" si="81"/>
        <v>1717766.6999999993</v>
      </c>
      <c r="O150" s="88">
        <v>14650032</v>
      </c>
      <c r="P150" s="41" t="s">
        <v>993</v>
      </c>
      <c r="Q150" s="35" t="s">
        <v>994</v>
      </c>
      <c r="R150" s="35" t="s">
        <v>995</v>
      </c>
      <c r="S150" s="35" t="s">
        <v>995</v>
      </c>
      <c r="T150" s="160" t="s">
        <v>996</v>
      </c>
      <c r="U150" s="35" t="s">
        <v>17</v>
      </c>
      <c r="V150" s="172">
        <v>14650032</v>
      </c>
      <c r="W150" s="95"/>
      <c r="X150" s="89">
        <f t="shared" si="82"/>
        <v>14650032</v>
      </c>
      <c r="Y150" s="88">
        <v>3218245.88</v>
      </c>
      <c r="Z150" s="88">
        <v>64166.5</v>
      </c>
      <c r="AA150" s="90">
        <f t="shared" si="88"/>
        <v>3282412.38</v>
      </c>
      <c r="AB150" s="91">
        <f t="shared" si="83"/>
        <v>0.22405496315639448</v>
      </c>
      <c r="AC150" s="96"/>
      <c r="AD150" s="90">
        <f t="shared" si="84"/>
        <v>14650032</v>
      </c>
      <c r="AE150" s="42">
        <f t="shared" si="85"/>
        <v>0</v>
      </c>
      <c r="AF150" s="93">
        <f t="shared" si="86"/>
        <v>0</v>
      </c>
      <c r="AG150" s="45" t="s">
        <v>118</v>
      </c>
      <c r="AH150" s="35">
        <v>101</v>
      </c>
      <c r="AI150" s="35" t="s">
        <v>21</v>
      </c>
      <c r="AJ150" s="35" t="s">
        <v>15</v>
      </c>
      <c r="AK150" s="35" t="s">
        <v>25</v>
      </c>
      <c r="AL150" s="35" t="s">
        <v>161</v>
      </c>
      <c r="AM150" s="35" t="s">
        <v>726</v>
      </c>
      <c r="AN150" s="42">
        <f t="shared" si="87"/>
        <v>11367619.620000001</v>
      </c>
    </row>
    <row r="151" spans="1:41" s="34" customFormat="1" ht="124.5" customHeight="1" x14ac:dyDescent="0.3">
      <c r="A151" s="37">
        <v>409</v>
      </c>
      <c r="B151" s="176" t="s">
        <v>997</v>
      </c>
      <c r="C151" s="35" t="s">
        <v>998</v>
      </c>
      <c r="D151" s="35">
        <v>1383</v>
      </c>
      <c r="E151" s="38">
        <v>45320</v>
      </c>
      <c r="F151" s="38">
        <v>45838</v>
      </c>
      <c r="G151" s="39">
        <f t="shared" si="78"/>
        <v>518</v>
      </c>
      <c r="H151" s="87">
        <f t="shared" si="79"/>
        <v>0.82625482625482627</v>
      </c>
      <c r="I151" s="41">
        <v>873360</v>
      </c>
      <c r="J151" s="41">
        <v>0</v>
      </c>
      <c r="K151" s="41">
        <v>0</v>
      </c>
      <c r="L151" s="42">
        <f t="shared" si="80"/>
        <v>873360</v>
      </c>
      <c r="M151" s="41">
        <v>873360</v>
      </c>
      <c r="N151" s="42">
        <f t="shared" si="81"/>
        <v>0</v>
      </c>
      <c r="O151" s="88">
        <v>873360</v>
      </c>
      <c r="P151" s="41" t="s">
        <v>999</v>
      </c>
      <c r="Q151" s="35" t="s">
        <v>1000</v>
      </c>
      <c r="R151" s="35" t="s">
        <v>1000</v>
      </c>
      <c r="S151" s="35" t="s">
        <v>1000</v>
      </c>
      <c r="T151" s="160" t="s">
        <v>1001</v>
      </c>
      <c r="U151" s="35" t="s">
        <v>17</v>
      </c>
      <c r="V151" s="88">
        <v>873360</v>
      </c>
      <c r="W151" s="95"/>
      <c r="X151" s="89">
        <f t="shared" si="82"/>
        <v>873360</v>
      </c>
      <c r="Y151" s="88">
        <v>118665.32</v>
      </c>
      <c r="Z151" s="88">
        <v>269248.84999999998</v>
      </c>
      <c r="AA151" s="90">
        <f t="shared" si="88"/>
        <v>387914.17</v>
      </c>
      <c r="AB151" s="91">
        <f t="shared" si="83"/>
        <v>0.44416296830631125</v>
      </c>
      <c r="AC151" s="96">
        <v>0</v>
      </c>
      <c r="AD151" s="90">
        <f t="shared" si="84"/>
        <v>873360</v>
      </c>
      <c r="AE151" s="42">
        <f t="shared" si="85"/>
        <v>0</v>
      </c>
      <c r="AF151" s="93">
        <f t="shared" si="86"/>
        <v>0</v>
      </c>
      <c r="AG151" s="45" t="s">
        <v>118</v>
      </c>
      <c r="AH151" s="35" t="s">
        <v>21</v>
      </c>
      <c r="AI151" s="35" t="s">
        <v>21</v>
      </c>
      <c r="AJ151" s="35" t="s">
        <v>8</v>
      </c>
      <c r="AK151" s="37" t="s">
        <v>25</v>
      </c>
      <c r="AL151" s="35" t="s">
        <v>119</v>
      </c>
      <c r="AM151" s="37" t="s">
        <v>75</v>
      </c>
      <c r="AN151" s="42">
        <f t="shared" si="87"/>
        <v>485445.83</v>
      </c>
      <c r="AO151" s="37"/>
    </row>
    <row r="152" spans="1:41" s="34" customFormat="1" ht="57.6" x14ac:dyDescent="0.3">
      <c r="A152" s="37">
        <v>409</v>
      </c>
      <c r="B152" s="175" t="s">
        <v>1002</v>
      </c>
      <c r="C152" s="35" t="s">
        <v>801</v>
      </c>
      <c r="D152" s="35">
        <v>3147</v>
      </c>
      <c r="E152" s="38">
        <v>45108</v>
      </c>
      <c r="F152" s="38">
        <v>45838</v>
      </c>
      <c r="G152" s="39">
        <f t="shared" si="78"/>
        <v>730</v>
      </c>
      <c r="H152" s="87">
        <f t="shared" si="79"/>
        <v>0.87671232876712324</v>
      </c>
      <c r="I152" s="41">
        <v>797698</v>
      </c>
      <c r="J152" s="41">
        <v>0</v>
      </c>
      <c r="K152" s="41">
        <v>0</v>
      </c>
      <c r="L152" s="42">
        <f t="shared" si="80"/>
        <v>797698</v>
      </c>
      <c r="M152" s="41">
        <v>797698</v>
      </c>
      <c r="N152" s="42">
        <f t="shared" si="81"/>
        <v>0</v>
      </c>
      <c r="O152" s="88">
        <v>797698</v>
      </c>
      <c r="P152" s="41" t="s">
        <v>1003</v>
      </c>
      <c r="Q152" s="35" t="s">
        <v>1004</v>
      </c>
      <c r="R152" s="35" t="s">
        <v>1005</v>
      </c>
      <c r="S152" s="35" t="s">
        <v>1005</v>
      </c>
      <c r="T152" s="160" t="s">
        <v>1006</v>
      </c>
      <c r="U152" s="35" t="s">
        <v>17</v>
      </c>
      <c r="V152" s="88">
        <v>797698</v>
      </c>
      <c r="W152" s="95"/>
      <c r="X152" s="89">
        <f t="shared" si="82"/>
        <v>797698</v>
      </c>
      <c r="Y152" s="88">
        <v>733652.49000000011</v>
      </c>
      <c r="Z152" s="88">
        <v>0</v>
      </c>
      <c r="AA152" s="90">
        <f t="shared" si="88"/>
        <v>733652.49000000011</v>
      </c>
      <c r="AB152" s="91">
        <f>AA152/O152</f>
        <v>0.91971208402177274</v>
      </c>
      <c r="AC152" s="96">
        <v>0</v>
      </c>
      <c r="AD152" s="90">
        <f t="shared" si="84"/>
        <v>797698</v>
      </c>
      <c r="AE152" s="42">
        <f t="shared" si="85"/>
        <v>0</v>
      </c>
      <c r="AF152" s="93">
        <f t="shared" si="86"/>
        <v>0</v>
      </c>
      <c r="AG152" s="45" t="s">
        <v>118</v>
      </c>
      <c r="AH152" s="35" t="s">
        <v>21</v>
      </c>
      <c r="AI152" s="35" t="s">
        <v>21</v>
      </c>
      <c r="AJ152" s="35" t="s">
        <v>15</v>
      </c>
      <c r="AK152" s="35" t="s">
        <v>20</v>
      </c>
      <c r="AL152" s="35" t="s">
        <v>161</v>
      </c>
      <c r="AM152" s="37" t="s">
        <v>726</v>
      </c>
      <c r="AN152" s="42">
        <f t="shared" si="87"/>
        <v>64045.509999999893</v>
      </c>
    </row>
    <row r="153" spans="1:41" ht="43.2" x14ac:dyDescent="0.3">
      <c r="A153" s="37">
        <v>409</v>
      </c>
      <c r="B153" s="175" t="s">
        <v>1007</v>
      </c>
      <c r="C153" s="35" t="s">
        <v>1008</v>
      </c>
      <c r="D153" s="35">
        <v>4895</v>
      </c>
      <c r="E153" s="38">
        <v>45108</v>
      </c>
      <c r="F153" s="38">
        <v>45838</v>
      </c>
      <c r="G153" s="39">
        <f>F153-E153</f>
        <v>730</v>
      </c>
      <c r="H153" s="87">
        <f>IF(U153="Completed",1,($B$1-E153)/G153)</f>
        <v>0.87671232876712324</v>
      </c>
      <c r="I153" s="41">
        <v>575346</v>
      </c>
      <c r="J153" s="41">
        <v>0</v>
      </c>
      <c r="K153" s="41">
        <v>0</v>
      </c>
      <c r="L153" s="42">
        <f>I153+J153+K153</f>
        <v>575346</v>
      </c>
      <c r="M153" s="41">
        <v>575346</v>
      </c>
      <c r="N153" s="42">
        <f>L153-M153</f>
        <v>0</v>
      </c>
      <c r="O153" s="88">
        <v>575346</v>
      </c>
      <c r="P153" s="41" t="s">
        <v>1009</v>
      </c>
      <c r="Q153" s="35" t="s">
        <v>1010</v>
      </c>
      <c r="R153" s="35" t="s">
        <v>1011</v>
      </c>
      <c r="S153" s="35" t="s">
        <v>1012</v>
      </c>
      <c r="T153" s="160" t="s">
        <v>1013</v>
      </c>
      <c r="U153" s="35" t="s">
        <v>22</v>
      </c>
      <c r="V153" s="88">
        <v>575346</v>
      </c>
      <c r="W153" s="95"/>
      <c r="X153" s="89">
        <f>V153+W153</f>
        <v>575346</v>
      </c>
      <c r="Y153" s="88">
        <v>575346</v>
      </c>
      <c r="Z153" s="88">
        <v>0</v>
      </c>
      <c r="AA153" s="90">
        <f>Y153+Z153</f>
        <v>575346</v>
      </c>
      <c r="AB153" s="91">
        <f>AA153/O153</f>
        <v>1</v>
      </c>
      <c r="AC153" s="96">
        <v>0</v>
      </c>
      <c r="AD153" s="90">
        <f>O153+AC153</f>
        <v>575346</v>
      </c>
      <c r="AE153" s="42">
        <f>M153-AD153</f>
        <v>0</v>
      </c>
      <c r="AF153" s="93">
        <f>AD153-X153</f>
        <v>0</v>
      </c>
      <c r="AG153" s="41" t="s">
        <v>118</v>
      </c>
      <c r="AH153" s="35">
        <v>0</v>
      </c>
      <c r="AI153" s="35" t="s">
        <v>21</v>
      </c>
      <c r="AJ153" s="35" t="s">
        <v>15</v>
      </c>
      <c r="AK153" s="35" t="s">
        <v>25</v>
      </c>
      <c r="AL153" s="35" t="s">
        <v>153</v>
      </c>
      <c r="AM153" s="35" t="s">
        <v>75</v>
      </c>
      <c r="AN153" s="42">
        <f>AD153-AA153</f>
        <v>0</v>
      </c>
      <c r="AO153" s="37"/>
    </row>
    <row r="154" spans="1:41" s="37" customFormat="1" ht="120" customHeight="1" x14ac:dyDescent="0.3">
      <c r="A154" s="37">
        <v>409</v>
      </c>
      <c r="B154" s="175" t="s">
        <v>1014</v>
      </c>
      <c r="C154" s="36" t="s">
        <v>1015</v>
      </c>
      <c r="D154" s="35">
        <v>3646</v>
      </c>
      <c r="E154" s="104">
        <v>45456</v>
      </c>
      <c r="F154" s="104">
        <v>46387</v>
      </c>
      <c r="G154" s="39">
        <f t="shared" si="78"/>
        <v>931</v>
      </c>
      <c r="H154" s="87">
        <f t="shared" si="79"/>
        <v>0.31364124597207305</v>
      </c>
      <c r="I154" s="41">
        <v>3888162</v>
      </c>
      <c r="J154" s="41">
        <v>0</v>
      </c>
      <c r="K154" s="41">
        <v>0</v>
      </c>
      <c r="L154" s="42">
        <f t="shared" si="80"/>
        <v>3888162</v>
      </c>
      <c r="M154" s="41">
        <v>3888162</v>
      </c>
      <c r="N154" s="42">
        <f t="shared" si="81"/>
        <v>0</v>
      </c>
      <c r="O154" s="88">
        <v>3888162</v>
      </c>
      <c r="P154" s="53" t="s">
        <v>1016</v>
      </c>
      <c r="Q154" s="36" t="s">
        <v>1017</v>
      </c>
      <c r="R154" s="36" t="s">
        <v>1018</v>
      </c>
      <c r="S154" s="36" t="s">
        <v>1019</v>
      </c>
      <c r="T154" s="162" t="s">
        <v>1020</v>
      </c>
      <c r="U154" s="105" t="s">
        <v>17</v>
      </c>
      <c r="V154" s="88">
        <v>3888162</v>
      </c>
      <c r="W154" s="95"/>
      <c r="X154" s="89">
        <f t="shared" si="82"/>
        <v>3888162</v>
      </c>
      <c r="Y154" s="88">
        <v>83600</v>
      </c>
      <c r="Z154" s="88">
        <v>0</v>
      </c>
      <c r="AA154" s="90">
        <f t="shared" si="88"/>
        <v>83600</v>
      </c>
      <c r="AB154" s="91">
        <v>0</v>
      </c>
      <c r="AC154" s="96">
        <v>0</v>
      </c>
      <c r="AD154" s="90">
        <f t="shared" si="84"/>
        <v>3888162</v>
      </c>
      <c r="AE154" s="42">
        <f t="shared" si="85"/>
        <v>0</v>
      </c>
      <c r="AF154" s="93">
        <f t="shared" si="86"/>
        <v>0</v>
      </c>
      <c r="AG154" s="41" t="s">
        <v>1021</v>
      </c>
      <c r="AH154" s="35" t="s">
        <v>21</v>
      </c>
      <c r="AI154" s="35" t="s">
        <v>21</v>
      </c>
      <c r="AJ154" s="35" t="s">
        <v>8</v>
      </c>
      <c r="AK154" s="37" t="s">
        <v>14</v>
      </c>
      <c r="AL154" s="35" t="s">
        <v>119</v>
      </c>
      <c r="AM154" s="37" t="s">
        <v>75</v>
      </c>
      <c r="AN154" s="42">
        <f t="shared" si="87"/>
        <v>3804562</v>
      </c>
      <c r="AO154" s="34"/>
    </row>
    <row r="155" spans="1:41" s="106" customFormat="1" ht="15" thickBot="1" x14ac:dyDescent="0.35">
      <c r="C155" s="107"/>
      <c r="D155" s="107"/>
      <c r="E155" s="108"/>
      <c r="F155" s="108"/>
      <c r="G155" s="109"/>
      <c r="H155" s="110">
        <f>AVERAGE(H3:H154)</f>
        <v>0.87237765221575359</v>
      </c>
      <c r="I155" s="111">
        <f>SUM(I3:I154)</f>
        <v>615552925.70000005</v>
      </c>
      <c r="J155" s="111">
        <f t="shared" ref="J155:O155" si="89">SUM(J3:J154)</f>
        <v>-87148407.050000012</v>
      </c>
      <c r="K155" s="111">
        <f t="shared" si="89"/>
        <v>-18539617.5</v>
      </c>
      <c r="L155" s="111">
        <f>SUM(L3:L154)</f>
        <v>509864901.15000004</v>
      </c>
      <c r="M155" s="111">
        <f t="shared" si="89"/>
        <v>604783841.88</v>
      </c>
      <c r="N155" s="111">
        <f t="shared" si="89"/>
        <v>-94918940.730000004</v>
      </c>
      <c r="O155" s="111">
        <f t="shared" si="89"/>
        <v>590155346.45000005</v>
      </c>
      <c r="P155" s="112"/>
      <c r="Q155" s="107"/>
      <c r="R155" s="107"/>
      <c r="S155" s="107"/>
      <c r="T155" s="107"/>
      <c r="U155" s="107"/>
      <c r="V155" s="111">
        <f t="shared" ref="V155:AA155" si="90">SUM(V3:V154)</f>
        <v>482387360.91000003</v>
      </c>
      <c r="W155" s="111">
        <f t="shared" si="90"/>
        <v>0</v>
      </c>
      <c r="X155" s="111">
        <f t="shared" si="90"/>
        <v>482387360.91000003</v>
      </c>
      <c r="Y155" s="113">
        <f t="shared" si="90"/>
        <v>300262648.59000009</v>
      </c>
      <c r="Z155" s="113">
        <f t="shared" si="90"/>
        <v>12177401.390000002</v>
      </c>
      <c r="AA155" s="111">
        <f t="shared" si="90"/>
        <v>312440049.98000002</v>
      </c>
      <c r="AB155" s="114">
        <f>AA155/AD155</f>
        <v>0.60287022184638206</v>
      </c>
      <c r="AC155" s="111">
        <f>SUM(AC3:AC154)</f>
        <v>-124977119.64</v>
      </c>
      <c r="AD155" s="111">
        <f>SUM(AD3:AD154)</f>
        <v>518254242.22000003</v>
      </c>
      <c r="AE155" s="111">
        <f>SUM(AE3:AE154)</f>
        <v>86764548.859999999</v>
      </c>
      <c r="AF155" s="111">
        <f>SUM(AF3:AF154)</f>
        <v>23846258.449999999</v>
      </c>
      <c r="AG155" s="111"/>
      <c r="AH155" s="115"/>
      <c r="AI155" s="115"/>
      <c r="AJ155" s="107"/>
      <c r="AN155" s="111">
        <f>SUM(AN3:AN154)</f>
        <v>205814192.24000007</v>
      </c>
    </row>
    <row r="156" spans="1:41" ht="14.4" customHeight="1" thickTop="1" x14ac:dyDescent="0.3">
      <c r="Z156" s="123" t="s">
        <v>75</v>
      </c>
    </row>
  </sheetData>
  <autoFilter ref="A2:AP156" xr:uid="{227E9981-54AD-4893-85D6-50E230D1C908}"/>
  <conditionalFormatting sqref="B1:B84 B86:B1048576">
    <cfRule type="duplicateValues" dxfId="4" priority="2"/>
  </conditionalFormatting>
  <conditionalFormatting sqref="AN1:AN1048576">
    <cfRule type="cellIs" dxfId="3" priority="1" operator="lessThan">
      <formula>0</formula>
    </cfRule>
  </conditionalFormatting>
  <dataValidations count="13">
    <dataValidation type="textLength" showInputMessage="1" showErrorMessage="1" sqref="R65:R75 R46:R63 S145:T145 S102 R3:S4 S139:S140 S39 S147:T147 R130:R131 R134:R136 T127:T128 S28:S30 T119 S32:S34 R144:R165 T152:T153 S150:S154 S117:S119 R27 T27:T29 R138:R140 R167:R1048576 T150 R29:R30 R44 T32 R38:R39 R32:R36 R41:R42 Q49:Q51 S77 Q86:Q87 R111:R114 Q95 R90:R94 R96 S110 R99:R109 R78:R84 R86:R88 S122 R116:R121 R123:R126" xr:uid="{658EB159-8847-40FC-A3BA-245B06CCB05F}">
      <formula1>1</formula1>
      <formula2>250</formula2>
    </dataValidation>
    <dataValidation type="textLength" showErrorMessage="1" errorTitle="Exceeds 250 Characters" error="Revise input to be 250 characters or less. " sqref="R2" xr:uid="{19AB4738-0D45-44DA-BF32-517F8403C0F9}">
      <formula1>1</formula1>
      <formula2>250</formula2>
    </dataValidation>
    <dataValidation type="textLength" showErrorMessage="1" errorTitle="Exceeds 250 Characters" error="Revise input to be 250 Characters or less. " sqref="S2:T2" xr:uid="{7D693325-D51A-49C9-8BDC-9C7B22D31104}">
      <formula1>1</formula1>
      <formula2>250</formula2>
    </dataValidation>
    <dataValidation type="list" allowBlank="1" sqref="S144:T144 S138:T138 S99:S101 S146:T146 S66:T66 S130:T131 S134:T136 S166 S120:T126 T93:T95 S103:S116 T152:T153 T68:T70 T139:T140 S67:S77 T148 T35:T49 T77:T79 T52 S148:S149 T61 T155 T157 S155:S157 S167:T1048576 S90:S95 S158:T165 S151:S153 S35:S44 R37 R40 R46 S46:S65 S82:S88 T109:T116 T85 T81:T83" xr:uid="{25DAE563-A722-4A27-AE6F-2981A7C9CEEC}">
      <formula1>#REF!</formula1>
    </dataValidation>
    <dataValidation type="textLength" showErrorMessage="1" errorTitle="Exceeds 250 characters" error="Revise input to be 250 characters or less. " sqref="S137:T137 S132:T133 S127:S129 T129" xr:uid="{8B836AD3-7276-4414-8272-C16ED45F5245}">
      <formula1>1</formula1>
      <formula2>250</formula2>
    </dataValidation>
    <dataValidation type="textLength" showErrorMessage="1" errorTitle="Exceeds 250 characters" error="Revise input to be 250 characters or less." sqref="R132:R133 R141:T141 S127 R128:R129" xr:uid="{35670A63-6F92-4154-9771-ED76B6180B04}">
      <formula1>1</formula1>
      <formula2>250</formula2>
    </dataValidation>
    <dataValidation type="textLength" allowBlank="1" showErrorMessage="1" errorTitle="Exceeds 1500 characters" error="Please revise input to be 1500 characters or less. " sqref="R137" xr:uid="{12A521EC-3133-4E8C-BA7C-B181E8CB74FC}">
      <formula1>50</formula1>
      <formula2>1500</formula2>
    </dataValidation>
    <dataValidation type="list" allowBlank="1" showInputMessage="1" showErrorMessage="1" sqref="AK150:AK153 AL150:AL154 AK3:AL30 AK32:AL148 AK153:AL153" xr:uid="{77FB4BF4-74B4-429C-BED6-8FEE1D5264F1}">
      <formula1>#REF!</formula1>
    </dataValidation>
    <dataValidation type="textLength" operator="lessThanOrEqual" showInputMessage="1" showErrorMessage="1" sqref="Q32:Q43 Q27:Q30 R26 Q1:Q25 S95 Q85:Q94 Q45:Q83 Q96:Q1048576" xr:uid="{90B5374E-003C-4723-8F14-CE239B7C3830}">
      <formula1>1500</formula1>
    </dataValidation>
    <dataValidation type="textLength" showInputMessage="1" showErrorMessage="1" sqref="R45 R115 T117" xr:uid="{1BE71BDB-234A-48E7-A2EE-8AAE79E05F70}">
      <formula1>1</formula1>
      <formula2>500</formula2>
    </dataValidation>
    <dataValidation type="textLength" allowBlank="1" sqref="S45" xr:uid="{D9BAA5BF-62DC-46A2-825C-61268B286BC8}">
      <formula1>1</formula1>
      <formula2>500</formula2>
    </dataValidation>
    <dataValidation type="textLength" showErrorMessage="1" errorTitle="Exceeds 1500 Character" error="Please revise response to be 1500 characters or less." promptTitle="Program Description" sqref="R28" xr:uid="{3CF2B7CF-4981-499F-B47D-1C619914C73F}">
      <formula1>1</formula1>
      <formula2>1500</formula2>
    </dataValidation>
    <dataValidation showInputMessage="1" showErrorMessage="1" sqref="R43 S89" xr:uid="{749FB269-C3C1-4A09-9333-4AD7D8032584}"/>
  </dataValidations>
  <printOptions gridLines="1"/>
  <pageMargins left="0.25" right="0.25" top="0.75" bottom="0.75" header="0.3" footer="0.3"/>
  <pageSetup paperSize="5" scale="43" fitToHeight="13"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15D25C1-B81E-4F1D-9A93-42E0CE35C266}">
          <x14:formula1>
            <xm:f>'Data Validation'!$H$2:$H$4</xm:f>
          </x14:formula1>
          <xm:sqref>AK1:AK2 AK149 AK151:AK1048576</xm:sqref>
        </x14:dataValidation>
        <x14:dataValidation type="list" allowBlank="1" xr:uid="{3C786AE6-C4DD-4EC1-B630-7A04A32BABB3}">
          <x14:formula1>
            <xm:f>'Data Validation'!$B$2:$B$4</xm:f>
          </x14:formula1>
          <xm:sqref>AI32:AI61 AI64 AI68:AI87 AI89:AI95 AI1:AI30 AI99:AI1048576</xm:sqref>
        </x14:dataValidation>
        <x14:dataValidation type="list" allowBlank="1" xr:uid="{5AC47B64-B5DF-45FC-A146-82CAFFD880C9}">
          <x14:formula1>
            <xm:f>'Data Validation'!$D$2:$D$5</xm:f>
          </x14:formula1>
          <xm:sqref>U1:U30 U32:U1048576</xm:sqref>
        </x14:dataValidation>
        <x14:dataValidation type="list" allowBlank="1" xr:uid="{6311BB2B-C848-4EC5-A50F-9484A3621E38}">
          <x14:formula1>
            <xm:f>'Data Validation'!$A$2:$A$3</xm:f>
          </x14:formula1>
          <xm:sqref>AJ1:AJ30 AJ32:AJ1048576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B2408-3A5C-4123-9E90-A537E3DA2C6F}">
  <dimension ref="A1:C73"/>
  <sheetViews>
    <sheetView topLeftCell="A34" zoomScaleNormal="100" workbookViewId="0">
      <selection activeCell="C69" sqref="C69"/>
    </sheetView>
  </sheetViews>
  <sheetFormatPr defaultRowHeight="14.4" x14ac:dyDescent="0.3"/>
  <cols>
    <col min="1" max="1" width="91.44140625" bestFit="1" customWidth="1"/>
    <col min="2" max="2" width="31.109375" bestFit="1" customWidth="1"/>
    <col min="3" max="3" width="40.6640625" bestFit="1" customWidth="1"/>
    <col min="4" max="8" width="24.88671875" bestFit="1" customWidth="1"/>
    <col min="9" max="9" width="11.33203125" bestFit="1" customWidth="1"/>
  </cols>
  <sheetData>
    <row r="1" spans="1:2" x14ac:dyDescent="0.3">
      <c r="A1" t="s">
        <v>1022</v>
      </c>
    </row>
    <row r="2" spans="1:2" x14ac:dyDescent="0.3">
      <c r="A2">
        <v>152</v>
      </c>
    </row>
    <row r="5" spans="1:2" x14ac:dyDescent="0.3">
      <c r="A5" s="5" t="s">
        <v>112</v>
      </c>
      <c r="B5" t="s">
        <v>1022</v>
      </c>
    </row>
    <row r="6" spans="1:2" x14ac:dyDescent="0.3">
      <c r="A6" t="s">
        <v>161</v>
      </c>
      <c r="B6">
        <v>41</v>
      </c>
    </row>
    <row r="7" spans="1:2" x14ac:dyDescent="0.3">
      <c r="A7" t="s">
        <v>685</v>
      </c>
      <c r="B7">
        <v>3</v>
      </c>
    </row>
    <row r="8" spans="1:2" x14ac:dyDescent="0.3">
      <c r="A8" t="s">
        <v>119</v>
      </c>
      <c r="B8">
        <v>38</v>
      </c>
    </row>
    <row r="9" spans="1:2" x14ac:dyDescent="0.3">
      <c r="A9" t="s">
        <v>133</v>
      </c>
      <c r="B9">
        <v>21</v>
      </c>
    </row>
    <row r="10" spans="1:2" x14ac:dyDescent="0.3">
      <c r="A10" t="s">
        <v>153</v>
      </c>
      <c r="B10">
        <v>19</v>
      </c>
    </row>
    <row r="11" spans="1:2" x14ac:dyDescent="0.3">
      <c r="A11" t="s">
        <v>126</v>
      </c>
      <c r="B11">
        <v>30</v>
      </c>
    </row>
    <row r="12" spans="1:2" x14ac:dyDescent="0.3">
      <c r="A12" t="s">
        <v>1023</v>
      </c>
      <c r="B12">
        <v>152</v>
      </c>
    </row>
    <row r="18" spans="1:3" x14ac:dyDescent="0.3">
      <c r="A18" s="5" t="s">
        <v>1024</v>
      </c>
      <c r="B18" s="5" t="s">
        <v>95</v>
      </c>
    </row>
    <row r="19" spans="1:3" x14ac:dyDescent="0.3">
      <c r="A19" s="5" t="s">
        <v>112</v>
      </c>
      <c r="B19" t="s">
        <v>26</v>
      </c>
      <c r="C19" t="s">
        <v>1023</v>
      </c>
    </row>
    <row r="20" spans="1:3" x14ac:dyDescent="0.3">
      <c r="A20" t="s">
        <v>161</v>
      </c>
      <c r="B20">
        <v>18</v>
      </c>
      <c r="C20">
        <v>18</v>
      </c>
    </row>
    <row r="21" spans="1:3" x14ac:dyDescent="0.3">
      <c r="A21" t="s">
        <v>685</v>
      </c>
      <c r="B21">
        <v>2</v>
      </c>
      <c r="C21">
        <v>2</v>
      </c>
    </row>
    <row r="22" spans="1:3" x14ac:dyDescent="0.3">
      <c r="A22" t="s">
        <v>119</v>
      </c>
      <c r="B22">
        <v>13</v>
      </c>
      <c r="C22">
        <v>13</v>
      </c>
    </row>
    <row r="23" spans="1:3" x14ac:dyDescent="0.3">
      <c r="A23" t="s">
        <v>133</v>
      </c>
      <c r="B23">
        <v>14</v>
      </c>
      <c r="C23">
        <v>14</v>
      </c>
    </row>
    <row r="24" spans="1:3" x14ac:dyDescent="0.3">
      <c r="A24" t="s">
        <v>153</v>
      </c>
      <c r="B24">
        <v>12</v>
      </c>
      <c r="C24">
        <v>12</v>
      </c>
    </row>
    <row r="25" spans="1:3" x14ac:dyDescent="0.3">
      <c r="A25" t="s">
        <v>126</v>
      </c>
      <c r="B25">
        <v>11</v>
      </c>
      <c r="C25">
        <v>11</v>
      </c>
    </row>
    <row r="26" spans="1:3" x14ac:dyDescent="0.3">
      <c r="A26" t="s">
        <v>1023</v>
      </c>
      <c r="B26">
        <v>70</v>
      </c>
      <c r="C26">
        <v>70</v>
      </c>
    </row>
    <row r="28" spans="1:3" hidden="1" x14ac:dyDescent="0.3"/>
    <row r="29" spans="1:3" hidden="1" x14ac:dyDescent="0.3"/>
    <row r="30" spans="1:3" hidden="1" x14ac:dyDescent="0.3"/>
    <row r="32" spans="1:3" x14ac:dyDescent="0.3">
      <c r="A32" s="5" t="s">
        <v>111</v>
      </c>
      <c r="B32" t="s">
        <v>1025</v>
      </c>
    </row>
    <row r="33" spans="1:2" x14ac:dyDescent="0.3">
      <c r="A33" t="s">
        <v>160</v>
      </c>
      <c r="B33" s="7">
        <v>72463812.390000001</v>
      </c>
    </row>
    <row r="34" spans="1:2" x14ac:dyDescent="0.3">
      <c r="A34" t="s">
        <v>20</v>
      </c>
      <c r="B34" s="7">
        <v>8367054.2400000002</v>
      </c>
    </row>
    <row r="35" spans="1:2" x14ac:dyDescent="0.3">
      <c r="A35" t="s">
        <v>25</v>
      </c>
      <c r="B35" s="7">
        <v>418943607.74000001</v>
      </c>
    </row>
    <row r="36" spans="1:2" x14ac:dyDescent="0.3">
      <c r="A36" t="s">
        <v>641</v>
      </c>
      <c r="B36" s="7">
        <v>14591605.85</v>
      </c>
    </row>
    <row r="37" spans="1:2" x14ac:dyDescent="0.3">
      <c r="A37" t="s">
        <v>14</v>
      </c>
      <c r="B37" s="7">
        <v>3888162</v>
      </c>
    </row>
    <row r="38" spans="1:2" x14ac:dyDescent="0.3">
      <c r="A38" t="s">
        <v>1023</v>
      </c>
      <c r="B38" s="7">
        <v>518254242.22000003</v>
      </c>
    </row>
    <row r="39" spans="1:2" x14ac:dyDescent="0.3">
      <c r="B39" s="166"/>
    </row>
    <row r="40" spans="1:2" hidden="1" x14ac:dyDescent="0.3"/>
    <row r="41" spans="1:2" hidden="1" x14ac:dyDescent="0.3"/>
    <row r="42" spans="1:2" hidden="1" x14ac:dyDescent="0.3"/>
    <row r="43" spans="1:2" hidden="1" x14ac:dyDescent="0.3"/>
    <row r="45" spans="1:2" x14ac:dyDescent="0.3">
      <c r="A45" s="5" t="s">
        <v>112</v>
      </c>
      <c r="B45" t="s">
        <v>1025</v>
      </c>
    </row>
    <row r="46" spans="1:2" x14ac:dyDescent="0.3">
      <c r="A46" t="s">
        <v>161</v>
      </c>
      <c r="B46" s="7">
        <v>112885763.05999999</v>
      </c>
    </row>
    <row r="47" spans="1:2" x14ac:dyDescent="0.3">
      <c r="A47" t="s">
        <v>685</v>
      </c>
      <c r="B47" s="7">
        <v>80044280</v>
      </c>
    </row>
    <row r="48" spans="1:2" x14ac:dyDescent="0.3">
      <c r="A48" t="s">
        <v>119</v>
      </c>
      <c r="B48" s="7">
        <v>176372451.59999999</v>
      </c>
    </row>
    <row r="49" spans="1:2" x14ac:dyDescent="0.3">
      <c r="A49" t="s">
        <v>133</v>
      </c>
      <c r="B49" s="7">
        <v>71877569.150000006</v>
      </c>
    </row>
    <row r="50" spans="1:2" x14ac:dyDescent="0.3">
      <c r="A50" t="s">
        <v>153</v>
      </c>
      <c r="B50" s="7">
        <v>18423826.490000002</v>
      </c>
    </row>
    <row r="51" spans="1:2" x14ac:dyDescent="0.3">
      <c r="A51" t="s">
        <v>126</v>
      </c>
      <c r="B51" s="7">
        <v>58650351.919999994</v>
      </c>
    </row>
    <row r="52" spans="1:2" x14ac:dyDescent="0.3">
      <c r="A52" t="s">
        <v>1023</v>
      </c>
      <c r="B52" s="7">
        <v>518254242.21999997</v>
      </c>
    </row>
    <row r="53" spans="1:2" x14ac:dyDescent="0.3">
      <c r="B53" s="166"/>
    </row>
    <row r="54" spans="1:2" hidden="1" x14ac:dyDescent="0.3">
      <c r="B54" s="166"/>
    </row>
    <row r="55" spans="1:2" hidden="1" x14ac:dyDescent="0.3"/>
    <row r="56" spans="1:2" hidden="1" x14ac:dyDescent="0.3"/>
    <row r="57" spans="1:2" hidden="1" x14ac:dyDescent="0.3"/>
    <row r="58" spans="1:2" ht="13.5" hidden="1" customHeight="1" x14ac:dyDescent="0.3"/>
    <row r="59" spans="1:2" hidden="1" x14ac:dyDescent="0.3"/>
    <row r="60" spans="1:2" hidden="1" x14ac:dyDescent="0.3"/>
    <row r="61" spans="1:2" hidden="1" x14ac:dyDescent="0.3"/>
    <row r="62" spans="1:2" hidden="1" x14ac:dyDescent="0.3"/>
    <row r="63" spans="1:2" hidden="1" x14ac:dyDescent="0.3"/>
    <row r="65" spans="1:3" x14ac:dyDescent="0.3">
      <c r="A65" s="5" t="s">
        <v>76</v>
      </c>
      <c r="B65" t="s">
        <v>1025</v>
      </c>
      <c r="C65" t="s">
        <v>1026</v>
      </c>
    </row>
    <row r="66" spans="1:3" x14ac:dyDescent="0.3">
      <c r="A66">
        <v>400</v>
      </c>
      <c r="B66" s="7">
        <v>15653397.189999999</v>
      </c>
      <c r="C66" s="7">
        <v>9357212.5900000017</v>
      </c>
    </row>
    <row r="67" spans="1:3" x14ac:dyDescent="0.3">
      <c r="A67">
        <v>402</v>
      </c>
      <c r="B67" s="7">
        <v>46518498.859999999</v>
      </c>
      <c r="C67" s="7">
        <v>21678142.93</v>
      </c>
    </row>
    <row r="68" spans="1:3" x14ac:dyDescent="0.3">
      <c r="A68">
        <v>403</v>
      </c>
      <c r="B68" s="7">
        <v>32755166.399999999</v>
      </c>
      <c r="C68" s="7">
        <v>28061612.109999999</v>
      </c>
    </row>
    <row r="69" spans="1:3" x14ac:dyDescent="0.3">
      <c r="A69">
        <v>406</v>
      </c>
      <c r="B69" s="7">
        <v>171608136.14999998</v>
      </c>
      <c r="C69" s="7">
        <v>103640621.49000001</v>
      </c>
    </row>
    <row r="70" spans="1:3" x14ac:dyDescent="0.3">
      <c r="A70">
        <v>407</v>
      </c>
      <c r="B70" s="7">
        <v>145514608</v>
      </c>
      <c r="C70" s="7">
        <v>103611849.41000003</v>
      </c>
    </row>
    <row r="71" spans="1:3" x14ac:dyDescent="0.3">
      <c r="A71">
        <v>409</v>
      </c>
      <c r="B71" s="7">
        <v>106204435.62</v>
      </c>
      <c r="C71" s="7">
        <v>47644196.079999998</v>
      </c>
    </row>
    <row r="72" spans="1:3" x14ac:dyDescent="0.3">
      <c r="A72" t="s">
        <v>1023</v>
      </c>
      <c r="B72" s="7">
        <v>518254242.21999997</v>
      </c>
      <c r="C72" s="7">
        <v>313993634.61000001</v>
      </c>
    </row>
    <row r="73" spans="1:3" x14ac:dyDescent="0.3">
      <c r="B73" s="166"/>
      <c r="C73" s="166"/>
    </row>
  </sheetData>
  <pageMargins left="0.7" right="0.7" top="0.75" bottom="0.75" header="0.3" footer="0.3"/>
  <pageSetup scale="86"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E9614-7294-416F-9DF3-8726E006BC90}">
  <sheetPr>
    <pageSetUpPr fitToPage="1"/>
  </sheetPr>
  <dimension ref="A1:F23"/>
  <sheetViews>
    <sheetView workbookViewId="0">
      <selection activeCell="A17" sqref="A17"/>
    </sheetView>
  </sheetViews>
  <sheetFormatPr defaultRowHeight="14.4" x14ac:dyDescent="0.3"/>
  <cols>
    <col min="1" max="1" width="9.6640625" bestFit="1" customWidth="1"/>
    <col min="2" max="2" width="11.109375" bestFit="1" customWidth="1"/>
    <col min="3" max="3" width="15" style="13" bestFit="1" customWidth="1"/>
    <col min="4" max="4" width="65.44140625" bestFit="1" customWidth="1"/>
    <col min="5" max="5" width="15.5546875" style="9" bestFit="1" customWidth="1"/>
    <col min="6" max="6" width="12.33203125" customWidth="1"/>
  </cols>
  <sheetData>
    <row r="1" spans="1:6" x14ac:dyDescent="0.3">
      <c r="A1" t="s">
        <v>1027</v>
      </c>
    </row>
    <row r="2" spans="1:6" ht="28.8" x14ac:dyDescent="0.3">
      <c r="A2" s="21"/>
      <c r="B2" s="21"/>
      <c r="C2" s="22"/>
      <c r="D2" s="21"/>
      <c r="E2" s="23" t="s">
        <v>1028</v>
      </c>
      <c r="F2" s="24" t="s">
        <v>1029</v>
      </c>
    </row>
    <row r="3" spans="1:6" x14ac:dyDescent="0.3">
      <c r="A3" s="4">
        <v>45364</v>
      </c>
      <c r="B3" t="s">
        <v>1030</v>
      </c>
      <c r="C3" s="13">
        <v>-1302785</v>
      </c>
      <c r="D3" t="s">
        <v>1031</v>
      </c>
      <c r="E3" s="9">
        <v>-1302785</v>
      </c>
      <c r="F3" s="7">
        <f>C3-E3</f>
        <v>0</v>
      </c>
    </row>
    <row r="4" spans="1:6" x14ac:dyDescent="0.3">
      <c r="B4" t="s">
        <v>1032</v>
      </c>
      <c r="C4" s="13">
        <v>-4795745</v>
      </c>
      <c r="D4" t="s">
        <v>1033</v>
      </c>
      <c r="E4" s="9">
        <v>-4795745</v>
      </c>
      <c r="F4" s="7">
        <f t="shared" ref="F4:F22" si="0">C4-E4</f>
        <v>0</v>
      </c>
    </row>
    <row r="5" spans="1:6" x14ac:dyDescent="0.3">
      <c r="B5" t="s">
        <v>1034</v>
      </c>
      <c r="C5" s="13">
        <v>-1788960</v>
      </c>
      <c r="D5" t="s">
        <v>269</v>
      </c>
      <c r="E5" s="9">
        <v>-1788960</v>
      </c>
      <c r="F5" s="7">
        <f t="shared" si="0"/>
        <v>0</v>
      </c>
    </row>
    <row r="6" spans="1:6" x14ac:dyDescent="0.3">
      <c r="B6" t="s">
        <v>1035</v>
      </c>
      <c r="C6" s="13">
        <v>-400000</v>
      </c>
      <c r="D6" t="s">
        <v>222</v>
      </c>
      <c r="E6" s="9">
        <v>-400000</v>
      </c>
      <c r="F6" s="7">
        <f t="shared" si="0"/>
        <v>0</v>
      </c>
    </row>
    <row r="7" spans="1:6" x14ac:dyDescent="0.3">
      <c r="B7" t="s">
        <v>1036</v>
      </c>
      <c r="C7" s="13">
        <v>-2000000</v>
      </c>
      <c r="D7" t="s">
        <v>215</v>
      </c>
      <c r="E7" s="9">
        <v>-2000000</v>
      </c>
      <c r="F7" s="7">
        <f t="shared" si="0"/>
        <v>0</v>
      </c>
    </row>
    <row r="8" spans="1:6" x14ac:dyDescent="0.3">
      <c r="B8" t="s">
        <v>1037</v>
      </c>
      <c r="C8" s="13">
        <v>-500000</v>
      </c>
      <c r="D8" t="s">
        <v>1038</v>
      </c>
      <c r="E8" s="9">
        <v>-500000</v>
      </c>
      <c r="F8" s="7">
        <f t="shared" si="0"/>
        <v>0</v>
      </c>
    </row>
    <row r="9" spans="1:6" x14ac:dyDescent="0.3">
      <c r="B9" t="s">
        <v>1039</v>
      </c>
      <c r="C9" s="13">
        <v>-162013</v>
      </c>
      <c r="D9" t="s">
        <v>1040</v>
      </c>
      <c r="E9" s="9">
        <v>-160586</v>
      </c>
      <c r="F9" s="7">
        <f>C9-E9</f>
        <v>-1427</v>
      </c>
    </row>
    <row r="10" spans="1:6" x14ac:dyDescent="0.3">
      <c r="B10" t="s">
        <v>1041</v>
      </c>
      <c r="C10" s="13">
        <v>-736487</v>
      </c>
      <c r="D10" t="s">
        <v>1040</v>
      </c>
      <c r="E10" s="9">
        <v>-733715</v>
      </c>
      <c r="F10" s="7">
        <f t="shared" si="0"/>
        <v>-2772</v>
      </c>
    </row>
    <row r="11" spans="1:6" x14ac:dyDescent="0.3">
      <c r="B11" t="s">
        <v>1042</v>
      </c>
      <c r="C11" s="13">
        <v>-248239</v>
      </c>
      <c r="D11" t="s">
        <v>1040</v>
      </c>
      <c r="E11" s="9">
        <v>-245864</v>
      </c>
      <c r="F11" s="7">
        <f t="shared" si="0"/>
        <v>-2375</v>
      </c>
    </row>
    <row r="12" spans="1:6" x14ac:dyDescent="0.3">
      <c r="B12" t="s">
        <v>1043</v>
      </c>
      <c r="C12" s="13">
        <v>-660000</v>
      </c>
      <c r="D12" t="s">
        <v>1040</v>
      </c>
      <c r="E12" s="9">
        <v>-660000</v>
      </c>
      <c r="F12" s="7">
        <f t="shared" si="0"/>
        <v>0</v>
      </c>
    </row>
    <row r="13" spans="1:6" x14ac:dyDescent="0.3">
      <c r="B13" t="s">
        <v>1044</v>
      </c>
      <c r="C13" s="13">
        <v>-105394</v>
      </c>
      <c r="D13" t="s">
        <v>1040</v>
      </c>
      <c r="E13" s="9">
        <v>-104443</v>
      </c>
      <c r="F13" s="7">
        <f t="shared" si="0"/>
        <v>-951</v>
      </c>
    </row>
    <row r="14" spans="1:6" x14ac:dyDescent="0.3">
      <c r="B14" t="s">
        <v>1045</v>
      </c>
      <c r="C14" s="13">
        <v>-238801</v>
      </c>
      <c r="D14" t="s">
        <v>1040</v>
      </c>
      <c r="E14" s="9">
        <v>-236717</v>
      </c>
      <c r="F14" s="7">
        <f t="shared" si="0"/>
        <v>-2084</v>
      </c>
    </row>
    <row r="15" spans="1:6" x14ac:dyDescent="0.3">
      <c r="B15" t="s">
        <v>1046</v>
      </c>
      <c r="C15" s="13">
        <v>-362085</v>
      </c>
      <c r="D15" t="s">
        <v>1040</v>
      </c>
      <c r="E15" s="9">
        <v>-362085</v>
      </c>
      <c r="F15" s="7">
        <f t="shared" si="0"/>
        <v>0</v>
      </c>
    </row>
    <row r="16" spans="1:6" x14ac:dyDescent="0.3">
      <c r="B16" t="s">
        <v>1047</v>
      </c>
      <c r="C16" s="13">
        <v>-250000</v>
      </c>
      <c r="D16" t="s">
        <v>1048</v>
      </c>
      <c r="E16" s="9">
        <v>-250000</v>
      </c>
      <c r="F16" s="7">
        <f t="shared" si="0"/>
        <v>0</v>
      </c>
    </row>
    <row r="17" spans="2:6" x14ac:dyDescent="0.3">
      <c r="B17" t="s">
        <v>1049</v>
      </c>
      <c r="C17" s="13">
        <v>-1956000</v>
      </c>
      <c r="D17" t="s">
        <v>1050</v>
      </c>
      <c r="E17" s="9">
        <v>-1956000</v>
      </c>
      <c r="F17" s="7">
        <f t="shared" si="0"/>
        <v>0</v>
      </c>
    </row>
    <row r="18" spans="2:6" x14ac:dyDescent="0.3">
      <c r="B18" t="s">
        <v>1051</v>
      </c>
      <c r="C18" s="13">
        <v>-4799969</v>
      </c>
      <c r="D18" t="s">
        <v>1052</v>
      </c>
      <c r="E18" s="9">
        <v>-4799969</v>
      </c>
      <c r="F18" s="7">
        <f t="shared" si="0"/>
        <v>0</v>
      </c>
    </row>
    <row r="19" spans="2:6" x14ac:dyDescent="0.3">
      <c r="B19" t="s">
        <v>1053</v>
      </c>
      <c r="C19" s="13">
        <v>-964276</v>
      </c>
      <c r="D19" t="s">
        <v>1054</v>
      </c>
      <c r="E19" s="9">
        <v>-964276</v>
      </c>
      <c r="F19" s="7">
        <f t="shared" si="0"/>
        <v>0</v>
      </c>
    </row>
    <row r="20" spans="2:6" x14ac:dyDescent="0.3">
      <c r="B20" t="s">
        <v>1055</v>
      </c>
      <c r="C20" s="13">
        <v>-2226486</v>
      </c>
      <c r="D20" t="s">
        <v>1056</v>
      </c>
      <c r="E20" s="9">
        <v>-2226486</v>
      </c>
      <c r="F20" s="7">
        <f t="shared" si="0"/>
        <v>0</v>
      </c>
    </row>
    <row r="21" spans="2:6" x14ac:dyDescent="0.3">
      <c r="B21" t="s">
        <v>1057</v>
      </c>
      <c r="C21" s="13">
        <v>-420086</v>
      </c>
      <c r="D21" t="s">
        <v>1040</v>
      </c>
      <c r="E21" s="9">
        <v>-420086</v>
      </c>
      <c r="F21" s="7">
        <f t="shared" si="0"/>
        <v>0</v>
      </c>
    </row>
    <row r="22" spans="2:6" x14ac:dyDescent="0.3">
      <c r="B22" t="s">
        <v>999</v>
      </c>
      <c r="C22" s="13">
        <v>873360</v>
      </c>
      <c r="D22" t="s">
        <v>1058</v>
      </c>
      <c r="E22" s="9">
        <v>873360</v>
      </c>
      <c r="F22" s="7">
        <f t="shared" si="0"/>
        <v>0</v>
      </c>
    </row>
    <row r="23" spans="2:6" ht="15" thickBot="1" x14ac:dyDescent="0.35">
      <c r="C23" s="13">
        <f>SUM(C3:C22)</f>
        <v>-23043966</v>
      </c>
      <c r="E23" s="11">
        <f>SUM(E3:E22)</f>
        <v>-23034357</v>
      </c>
      <c r="F23" s="11">
        <f>SUM(F3:F22)</f>
        <v>-9609</v>
      </c>
    </row>
  </sheetData>
  <pageMargins left="0.7" right="0.7" top="0.75" bottom="0.75" header="0.3" footer="0.3"/>
  <pageSetup scale="7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D673-F6B5-4A4E-90DD-2F7E63BBC9CA}">
  <dimension ref="B3:G75"/>
  <sheetViews>
    <sheetView topLeftCell="B45" zoomScaleNormal="100" workbookViewId="0">
      <selection activeCell="C71" sqref="C71"/>
    </sheetView>
  </sheetViews>
  <sheetFormatPr defaultRowHeight="14.4" x14ac:dyDescent="0.3"/>
  <cols>
    <col min="1" max="1" width="4" bestFit="1" customWidth="1"/>
    <col min="2" max="2" width="31.88671875" customWidth="1"/>
    <col min="3" max="3" width="17.44140625" bestFit="1" customWidth="1"/>
    <col min="4" max="4" width="14" customWidth="1"/>
    <col min="5" max="5" width="15.109375" bestFit="1" customWidth="1"/>
    <col min="6" max="6" width="16.109375" customWidth="1"/>
    <col min="7" max="7" width="14.44140625" customWidth="1"/>
  </cols>
  <sheetData>
    <row r="3" spans="2:4" x14ac:dyDescent="0.3">
      <c r="B3" s="16" t="s">
        <v>1059</v>
      </c>
      <c r="C3" s="25" t="s">
        <v>1060</v>
      </c>
      <c r="D3" s="16" t="s">
        <v>1061</v>
      </c>
    </row>
    <row r="4" spans="2:4" x14ac:dyDescent="0.3">
      <c r="B4" s="6" t="s">
        <v>160</v>
      </c>
      <c r="C4" s="7">
        <f>GETPIVOTDATA("Revised Approved Budget",'Pivot Tables'!$A$32,"Area Served: Urban (Clark/Washoe), Rural or Statewide","Clark")</f>
        <v>72463812.390000001</v>
      </c>
      <c r="D4" s="27">
        <f>C4/$C$9</f>
        <v>0.1398229025190284</v>
      </c>
    </row>
    <row r="5" spans="2:4" x14ac:dyDescent="0.3">
      <c r="B5" s="6" t="s">
        <v>20</v>
      </c>
      <c r="C5" s="7">
        <f>GETPIVOTDATA("Revised Approved Budget",'Pivot Tables'!$A$32,"Area Served: Urban (Clark/Washoe), Rural or Statewide","Rural")</f>
        <v>8367054.2400000002</v>
      </c>
      <c r="D5" s="27">
        <f>C5/$C$9</f>
        <v>1.6144690305203845E-2</v>
      </c>
    </row>
    <row r="6" spans="2:4" x14ac:dyDescent="0.3">
      <c r="B6" s="6" t="s">
        <v>25</v>
      </c>
      <c r="C6" s="7">
        <f>GETPIVOTDATA("Revised Approved Budget",'Pivot Tables'!$A$32,"Area Served: Urban (Clark/Washoe), Rural or Statewide","Statewide")</f>
        <v>418943607.74000001</v>
      </c>
      <c r="D6" s="27">
        <f>C6/$C$9</f>
        <v>0.80837468101642196</v>
      </c>
    </row>
    <row r="7" spans="2:4" x14ac:dyDescent="0.3">
      <c r="B7" s="6" t="s">
        <v>641</v>
      </c>
      <c r="C7" s="7">
        <f>GETPIVOTDATA("Revised Approved Budget",'Pivot Tables'!$A$32,"Area Served: Urban (Clark/Washoe), Rural or Statewide","Washoe")</f>
        <v>14591605.85</v>
      </c>
      <c r="D7" s="27">
        <f>C7/$C$9</f>
        <v>2.8155304214192677E-2</v>
      </c>
    </row>
    <row r="8" spans="2:4" x14ac:dyDescent="0.3">
      <c r="B8" s="6" t="s">
        <v>14</v>
      </c>
      <c r="C8" s="7">
        <f>GETPIVOTDATA("Revised Approved Budget",'Pivot Tables'!$A$32,"Area Served: Urban (Clark/Washoe), Rural or Statewide","Urban (Clark/Washoe)")</f>
        <v>3888162</v>
      </c>
      <c r="D8" s="27">
        <f>C8/$C$9</f>
        <v>7.5024219451530648E-3</v>
      </c>
    </row>
    <row r="9" spans="2:4" ht="15" thickBot="1" x14ac:dyDescent="0.35">
      <c r="B9" s="2" t="s">
        <v>1023</v>
      </c>
      <c r="C9" s="20">
        <f>SUM(C4:C8)</f>
        <v>518254242.22000003</v>
      </c>
      <c r="D9" s="28">
        <f>SUM(D4:D8)</f>
        <v>0.99999999999999989</v>
      </c>
    </row>
    <row r="10" spans="2:4" ht="15" thickTop="1" x14ac:dyDescent="0.3"/>
    <row r="26" spans="2:4" x14ac:dyDescent="0.3">
      <c r="B26" s="16" t="s">
        <v>1062</v>
      </c>
      <c r="C26" s="25" t="s">
        <v>1060</v>
      </c>
      <c r="D26" s="16" t="s">
        <v>1061</v>
      </c>
    </row>
    <row r="27" spans="2:4" x14ac:dyDescent="0.3">
      <c r="B27" s="6" t="s">
        <v>161</v>
      </c>
      <c r="C27" s="7">
        <f>GETPIVOTDATA("Revised Approved Budget",'Pivot Tables'!$A$45,"Topic Area: Behavioral Health (Adult or Children); Infrastructure; Public Health; Workforce; Other","Behavioral Health (Adult/Children)")</f>
        <v>112885763.05999999</v>
      </c>
      <c r="D27" s="29">
        <f>C27/$C$33</f>
        <v>0.21781927452526237</v>
      </c>
    </row>
    <row r="28" spans="2:4" x14ac:dyDescent="0.3">
      <c r="B28" s="6" t="s">
        <v>685</v>
      </c>
      <c r="C28" s="7">
        <f>GETPIVOTDATA("Revised Approved Budget",'Pivot Tables'!$A$45,"Topic Area: Behavioral Health (Adult or Children); Infrastructure; Public Health; Workforce; Other","Child Care")</f>
        <v>80044280</v>
      </c>
      <c r="D28" s="29">
        <f t="shared" ref="D28:D32" si="0">C28/$C$33</f>
        <v>0.15444983075704577</v>
      </c>
    </row>
    <row r="29" spans="2:4" x14ac:dyDescent="0.3">
      <c r="B29" s="6" t="s">
        <v>119</v>
      </c>
      <c r="C29" s="7">
        <f>GETPIVOTDATA("Revised Approved Budget",'Pivot Tables'!$A$45,"Topic Area: Behavioral Health (Adult or Children); Infrastructure; Public Health; Workforce; Other","Infrastructure")</f>
        <v>176372451.59999999</v>
      </c>
      <c r="D29" s="29">
        <f t="shared" si="0"/>
        <v>0.34032032394851008</v>
      </c>
    </row>
    <row r="30" spans="2:4" x14ac:dyDescent="0.3">
      <c r="B30" s="6" t="s">
        <v>133</v>
      </c>
      <c r="C30" s="7">
        <f>GETPIVOTDATA("Revised Approved Budget",'Pivot Tables'!$A$45,"Topic Area: Behavioral Health (Adult or Children); Infrastructure; Public Health; Workforce; Other","Public Health")</f>
        <v>71877569.150000006</v>
      </c>
      <c r="D30" s="29">
        <f t="shared" si="0"/>
        <v>0.13869171401685862</v>
      </c>
    </row>
    <row r="31" spans="2:4" x14ac:dyDescent="0.3">
      <c r="B31" s="6" t="s">
        <v>153</v>
      </c>
      <c r="C31" s="7">
        <f>GETPIVOTDATA("Revised Approved Budget",'Pivot Tables'!$A$45,"Topic Area: Behavioral Health (Adult or Children); Infrastructure; Public Health; Workforce; Other","Social Services")</f>
        <v>18423826.490000002</v>
      </c>
      <c r="D31" s="29">
        <f t="shared" si="0"/>
        <v>3.5549784235396668E-2</v>
      </c>
    </row>
    <row r="32" spans="2:4" x14ac:dyDescent="0.3">
      <c r="B32" s="6" t="s">
        <v>126</v>
      </c>
      <c r="C32" s="7">
        <f>GETPIVOTDATA("Revised Approved Budget",'Pivot Tables'!$A$45,"Topic Area: Behavioral Health (Adult or Children); Infrastructure; Public Health; Workforce; Other","Workforce")</f>
        <v>58650351.919999994</v>
      </c>
      <c r="D32" s="29">
        <f t="shared" si="0"/>
        <v>0.11316907251692655</v>
      </c>
    </row>
    <row r="33" spans="2:4" ht="15" thickBot="1" x14ac:dyDescent="0.35">
      <c r="B33" s="2" t="s">
        <v>1023</v>
      </c>
      <c r="C33" s="20">
        <f>SUM(C27:C32)</f>
        <v>518254242.21999997</v>
      </c>
      <c r="D33" s="26">
        <f>SUM(D27:D32)</f>
        <v>1.0000000000000002</v>
      </c>
    </row>
    <row r="34" spans="2:4" ht="15" thickTop="1" x14ac:dyDescent="0.3">
      <c r="B34" s="17"/>
      <c r="C34" s="18"/>
      <c r="D34" s="19"/>
    </row>
    <row r="50" spans="2:7" x14ac:dyDescent="0.3">
      <c r="B50" s="16" t="s">
        <v>1062</v>
      </c>
      <c r="C50" s="16"/>
      <c r="D50" s="16" t="s">
        <v>1061</v>
      </c>
    </row>
    <row r="51" spans="2:7" x14ac:dyDescent="0.3">
      <c r="B51" s="6" t="s">
        <v>161</v>
      </c>
      <c r="C51">
        <f>GETPIVOTDATA("Agency",'Pivot Tables'!$A$5,"Topic Area: Behavioral Health (Adult or Children); Infrastructure; Public Health; Workforce; Other","Behavioral Health (Adult/Children)")</f>
        <v>41</v>
      </c>
      <c r="D51" s="8">
        <f>C51/$C$57</f>
        <v>0.26973684210526316</v>
      </c>
    </row>
    <row r="52" spans="2:7" x14ac:dyDescent="0.3">
      <c r="B52" s="6" t="s">
        <v>685</v>
      </c>
      <c r="C52">
        <f>GETPIVOTDATA("Agency",'Pivot Tables'!$A$5,"Topic Area: Behavioral Health (Adult or Children); Infrastructure; Public Health; Workforce; Other","Child Care")</f>
        <v>3</v>
      </c>
      <c r="D52" s="8">
        <f t="shared" ref="D52:D56" si="1">C52/$C$57</f>
        <v>1.9736842105263157E-2</v>
      </c>
    </row>
    <row r="53" spans="2:7" x14ac:dyDescent="0.3">
      <c r="B53" s="6" t="s">
        <v>119</v>
      </c>
      <c r="C53">
        <f>GETPIVOTDATA("Agency",'Pivot Tables'!$A$5,"Topic Area: Behavioral Health (Adult or Children); Infrastructure; Public Health; Workforce; Other","Infrastructure")</f>
        <v>38</v>
      </c>
      <c r="D53" s="8">
        <f t="shared" si="1"/>
        <v>0.25</v>
      </c>
    </row>
    <row r="54" spans="2:7" x14ac:dyDescent="0.3">
      <c r="B54" s="6" t="s">
        <v>133</v>
      </c>
      <c r="C54">
        <f>GETPIVOTDATA("Agency",'Pivot Tables'!$A$5,"Topic Area: Behavioral Health (Adult or Children); Infrastructure; Public Health; Workforce; Other","Public Health")</f>
        <v>21</v>
      </c>
      <c r="D54" s="8">
        <f t="shared" si="1"/>
        <v>0.13815789473684212</v>
      </c>
    </row>
    <row r="55" spans="2:7" x14ac:dyDescent="0.3">
      <c r="B55" s="6" t="s">
        <v>153</v>
      </c>
      <c r="C55">
        <f>GETPIVOTDATA("Agency",'Pivot Tables'!$A$5,"Topic Area: Behavioral Health (Adult or Children); Infrastructure; Public Health; Workforce; Other","Social Services")</f>
        <v>19</v>
      </c>
      <c r="D55" s="8">
        <f t="shared" si="1"/>
        <v>0.125</v>
      </c>
    </row>
    <row r="56" spans="2:7" x14ac:dyDescent="0.3">
      <c r="B56" s="6" t="s">
        <v>126</v>
      </c>
      <c r="C56">
        <f>GETPIVOTDATA("Agency",'Pivot Tables'!$A$5,"Topic Area: Behavioral Health (Adult or Children); Infrastructure; Public Health; Workforce; Other","Workforce")</f>
        <v>30</v>
      </c>
      <c r="D56" s="8">
        <f t="shared" si="1"/>
        <v>0.19736842105263158</v>
      </c>
    </row>
    <row r="57" spans="2:7" ht="15" thickBot="1" x14ac:dyDescent="0.35">
      <c r="B57" s="10" t="s">
        <v>1063</v>
      </c>
      <c r="C57" s="14">
        <f>SUM(C51:C56)</f>
        <v>152</v>
      </c>
      <c r="D57" s="15">
        <f>SUM(D51:D56)</f>
        <v>1</v>
      </c>
    </row>
    <row r="58" spans="2:7" ht="15" thickTop="1" x14ac:dyDescent="0.3"/>
    <row r="59" spans="2:7" ht="28.8" x14ac:dyDescent="0.3">
      <c r="C59" s="3" t="s">
        <v>104</v>
      </c>
      <c r="D59" s="16" t="s">
        <v>1064</v>
      </c>
      <c r="E59" s="3" t="s">
        <v>1065</v>
      </c>
      <c r="F59" s="12" t="s">
        <v>1066</v>
      </c>
      <c r="G59" s="12" t="s">
        <v>1067</v>
      </c>
    </row>
    <row r="60" spans="2:7" x14ac:dyDescent="0.3">
      <c r="B60" s="6" t="s">
        <v>1068</v>
      </c>
      <c r="C60" s="7">
        <f>GETPIVOTDATA("Sum of Revised Approved Budget",'Pivot Tables'!$A$65,"Agency",400)</f>
        <v>15653397.189999999</v>
      </c>
      <c r="D60" s="116">
        <f>C60/$C$66</f>
        <v>3.0204088871413619E-2</v>
      </c>
      <c r="E60" s="117">
        <f>GETPIVOTDATA("Sum of Total Expended
DO NOT HARDCODE",'Pivot Tables'!$A$65,"Agency",400)</f>
        <v>9357212.5900000017</v>
      </c>
      <c r="F60" s="8">
        <f>E60/$E$66</f>
        <v>2.9800644212492563E-2</v>
      </c>
      <c r="G60" s="8">
        <f>E60/C60</f>
        <v>0.59777519706570492</v>
      </c>
    </row>
    <row r="61" spans="2:7" x14ac:dyDescent="0.3">
      <c r="B61" s="6" t="s">
        <v>1069</v>
      </c>
      <c r="C61" s="7">
        <f>GETPIVOTDATA("Sum of Revised Approved Budget",'Pivot Tables'!$A$65,"Agency",402)</f>
        <v>46518498.859999999</v>
      </c>
      <c r="D61" s="116">
        <f t="shared" ref="D61:D65" si="2">C61/$C$66</f>
        <v>8.9759996292037694E-2</v>
      </c>
      <c r="E61" s="117">
        <f>GETPIVOTDATA("Sum of Total Expended
DO NOT HARDCODE",'Pivot Tables'!$A$65,"Agency",402)</f>
        <v>21678142.93</v>
      </c>
      <c r="F61" s="8">
        <f t="shared" ref="F61:F65" si="3">E61/$E$66</f>
        <v>6.9040071327960598E-2</v>
      </c>
      <c r="G61" s="8">
        <f t="shared" ref="G61:G65" si="4">E61/C61</f>
        <v>0.46601123125751698</v>
      </c>
    </row>
    <row r="62" spans="2:7" x14ac:dyDescent="0.3">
      <c r="B62" s="6" t="s">
        <v>1070</v>
      </c>
      <c r="C62" s="7">
        <f>GETPIVOTDATA("Sum of Revised Approved Budget",'Pivot Tables'!$A$65,"Agency",403)</f>
        <v>32755166.399999999</v>
      </c>
      <c r="D62" s="116">
        <f t="shared" si="2"/>
        <v>6.3202891036047454E-2</v>
      </c>
      <c r="E62" s="117">
        <f>GETPIVOTDATA("Sum of Total Expended
DO NOT HARDCODE",'Pivot Tables'!$A$65,"Agency",403)</f>
        <v>28061612.109999999</v>
      </c>
      <c r="F62" s="8">
        <f t="shared" si="3"/>
        <v>8.9370003136701473E-2</v>
      </c>
      <c r="G62" s="8">
        <f t="shared" si="4"/>
        <v>0.85670796989143061</v>
      </c>
    </row>
    <row r="63" spans="2:7" x14ac:dyDescent="0.3">
      <c r="B63" s="6" t="s">
        <v>1071</v>
      </c>
      <c r="C63" s="7">
        <f>GETPIVOTDATA("Sum of Revised Approved Budget",'Pivot Tables'!$A$65,"Agency",406)</f>
        <v>171608136.14999998</v>
      </c>
      <c r="D63" s="116">
        <f t="shared" si="2"/>
        <v>0.33112731584192606</v>
      </c>
      <c r="E63" s="117">
        <f>GETPIVOTDATA("Sum of Total Expended
DO NOT HARDCODE",'Pivot Tables'!$A$65,"Agency",406)</f>
        <v>103640621.49000001</v>
      </c>
      <c r="F63" s="8">
        <f t="shared" si="3"/>
        <v>0.3300723647430886</v>
      </c>
      <c r="G63" s="8">
        <f t="shared" si="4"/>
        <v>0.60393769092282068</v>
      </c>
    </row>
    <row r="64" spans="2:7" x14ac:dyDescent="0.3">
      <c r="B64" s="6" t="s">
        <v>1072</v>
      </c>
      <c r="C64" s="7">
        <f>GETPIVOTDATA("Sum of Revised Approved Budget",'Pivot Tables'!$A$65,"Agency",407)</f>
        <v>145514608</v>
      </c>
      <c r="D64" s="116">
        <f t="shared" si="2"/>
        <v>0.28077842137224368</v>
      </c>
      <c r="E64" s="117">
        <f>GETPIVOTDATA("Sum of Total Expended
DO NOT HARDCODE",'Pivot Tables'!$A$65,"Agency",407)</f>
        <v>103611849.41000003</v>
      </c>
      <c r="F64" s="8">
        <f t="shared" si="3"/>
        <v>0.32998073205749062</v>
      </c>
      <c r="G64" s="8">
        <f t="shared" si="4"/>
        <v>0.71203744307238226</v>
      </c>
    </row>
    <row r="65" spans="2:7" x14ac:dyDescent="0.3">
      <c r="B65" s="6" t="s">
        <v>1073</v>
      </c>
      <c r="C65" s="7">
        <f>GETPIVOTDATA("Sum of Revised Approved Budget",'Pivot Tables'!$A$65,"Agency",409)</f>
        <v>106204435.62</v>
      </c>
      <c r="D65" s="116">
        <f t="shared" si="2"/>
        <v>0.20492728658633153</v>
      </c>
      <c r="E65" s="117">
        <f>GETPIVOTDATA("Sum of Total Expended
DO NOT HARDCODE",'Pivot Tables'!$A$65,"Agency",409)</f>
        <v>47644196.079999998</v>
      </c>
      <c r="F65" s="8">
        <f t="shared" si="3"/>
        <v>0.15173618452226623</v>
      </c>
      <c r="G65" s="8">
        <f t="shared" si="4"/>
        <v>0.44860834485737644</v>
      </c>
    </row>
    <row r="66" spans="2:7" ht="15" thickBot="1" x14ac:dyDescent="0.35">
      <c r="B66" s="10" t="s">
        <v>1063</v>
      </c>
      <c r="C66" s="30">
        <f>SUM(C60:C65)</f>
        <v>518254242.21999997</v>
      </c>
      <c r="D66" s="15">
        <f>SUM(D60:D65)</f>
        <v>1</v>
      </c>
      <c r="E66" s="31">
        <f>SUM(E60:E65)</f>
        <v>313993634.61000001</v>
      </c>
      <c r="F66" s="15">
        <f t="shared" ref="F66" si="5">SUM(F60:F65)</f>
        <v>1</v>
      </c>
      <c r="G66" s="8"/>
    </row>
    <row r="67" spans="2:7" ht="15" thickTop="1" x14ac:dyDescent="0.3">
      <c r="D67" s="7"/>
    </row>
    <row r="68" spans="2:7" x14ac:dyDescent="0.3">
      <c r="B68" s="33" t="s">
        <v>1074</v>
      </c>
    </row>
    <row r="69" spans="2:7" x14ac:dyDescent="0.3">
      <c r="B69" s="6" t="s">
        <v>161</v>
      </c>
      <c r="C69">
        <f>GETPIVOTDATA("Area Served: Urban (Clark/Washoe), Rural or Statewide",'Pivot Tables'!$A$18,"Completion Status","Completed","Topic Area: Behavioral Health (Adult or Children); Infrastructure; Public Health; Workforce; Other","Behavioral Health (Adult/Children)")</f>
        <v>18</v>
      </c>
      <c r="D69" s="8">
        <f t="shared" ref="D69:D74" si="6">C69/$C$75</f>
        <v>0.25714285714285712</v>
      </c>
    </row>
    <row r="70" spans="2:7" x14ac:dyDescent="0.3">
      <c r="B70" s="6" t="s">
        <v>685</v>
      </c>
      <c r="C70">
        <f>GETPIVOTDATA("Area Served: Urban (Clark/Washoe), Rural or Statewide",'Pivot Tables'!$A$18,"Completion Status","Completed","Topic Area: Behavioral Health (Adult or Children); Infrastructure; Public Health; Workforce; Other","Child Care")</f>
        <v>2</v>
      </c>
      <c r="D70" s="8">
        <f t="shared" si="6"/>
        <v>2.8571428571428571E-2</v>
      </c>
    </row>
    <row r="71" spans="2:7" x14ac:dyDescent="0.3">
      <c r="B71" s="6" t="s">
        <v>119</v>
      </c>
      <c r="C71">
        <f>GETPIVOTDATA("Area Served: Urban (Clark/Washoe), Rural or Statewide",'Pivot Tables'!$A$18,"Completion Status","Completed","Topic Area: Behavioral Health (Adult or Children); Infrastructure; Public Health; Workforce; Other","Infrastructure")</f>
        <v>13</v>
      </c>
      <c r="D71" s="8">
        <f t="shared" si="6"/>
        <v>0.18571428571428572</v>
      </c>
    </row>
    <row r="72" spans="2:7" x14ac:dyDescent="0.3">
      <c r="B72" s="6" t="s">
        <v>133</v>
      </c>
      <c r="C72">
        <f>GETPIVOTDATA("Area Served: Urban (Clark/Washoe), Rural or Statewide",'Pivot Tables'!$A$18,"Completion Status","Completed","Topic Area: Behavioral Health (Adult or Children); Infrastructure; Public Health; Workforce; Other","Public Health")</f>
        <v>14</v>
      </c>
      <c r="D72" s="8">
        <f t="shared" si="6"/>
        <v>0.2</v>
      </c>
    </row>
    <row r="73" spans="2:7" x14ac:dyDescent="0.3">
      <c r="B73" s="6" t="s">
        <v>153</v>
      </c>
      <c r="C73">
        <f>GETPIVOTDATA("Area Served: Urban (Clark/Washoe), Rural or Statewide",'Pivot Tables'!$A$18,"Completion Status","Completed","Topic Area: Behavioral Health (Adult or Children); Infrastructure; Public Health; Workforce; Other","Social Services")</f>
        <v>12</v>
      </c>
      <c r="D73" s="8">
        <f t="shared" si="6"/>
        <v>0.17142857142857143</v>
      </c>
    </row>
    <row r="74" spans="2:7" x14ac:dyDescent="0.3">
      <c r="B74" s="6" t="s">
        <v>126</v>
      </c>
      <c r="C74">
        <f>GETPIVOTDATA("Area Served: Urban (Clark/Washoe), Rural or Statewide",'Pivot Tables'!$A$18,"Completion Status","Completed","Topic Area: Behavioral Health (Adult or Children); Infrastructure; Public Health; Workforce; Other","Workforce")</f>
        <v>11</v>
      </c>
      <c r="D74" s="8">
        <f t="shared" si="6"/>
        <v>0.15714285714285714</v>
      </c>
    </row>
    <row r="75" spans="2:7" ht="15" thickBot="1" x14ac:dyDescent="0.35">
      <c r="B75" s="10" t="s">
        <v>1063</v>
      </c>
      <c r="C75" s="14">
        <f>SUM(C69:C74)</f>
        <v>70</v>
      </c>
      <c r="D75" s="8">
        <f>SUM(D69:D74)</f>
        <v>1</v>
      </c>
    </row>
  </sheetData>
  <pageMargins left="0.7" right="0.7" top="0.75" bottom="0.75" header="0.3" footer="0.3"/>
  <pageSetup scale="83" orientation="portrait" r:id="rId1"/>
  <rowBreaks count="1" manualBreakCount="1">
    <brk id="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8576EBB607CC43A876918692A4B9F3" ma:contentTypeVersion="11" ma:contentTypeDescription="Create a new document." ma:contentTypeScope="" ma:versionID="91f68635a7840576e0bf44211e15d520">
  <xsd:schema xmlns:xsd="http://www.w3.org/2001/XMLSchema" xmlns:xs="http://www.w3.org/2001/XMLSchema" xmlns:p="http://schemas.microsoft.com/office/2006/metadata/properties" xmlns:ns2="46c48e1f-232e-4cdf-bc27-113ca8dd4fab" xmlns:ns3="01421d98-f01e-45d0-b4cb-573a15f839af" targetNamespace="http://schemas.microsoft.com/office/2006/metadata/properties" ma:root="true" ma:fieldsID="bf9e94ff4c58cee2c7d642fcc4124e46" ns2:_="" ns3:_="">
    <xsd:import namespace="46c48e1f-232e-4cdf-bc27-113ca8dd4fab"/>
    <xsd:import namespace="01421d98-f01e-45d0-b4cb-573a15f839a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48e1f-232e-4cdf-bc27-113ca8dd4f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421d98-f01e-45d0-b4cb-573a15f839a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5363F-09BA-4F14-BE44-2D7B5229D498}">
  <ds:schemaRefs>
    <ds:schemaRef ds:uri="46c48e1f-232e-4cdf-bc27-113ca8dd4fab"/>
    <ds:schemaRef ds:uri="01421d98-f01e-45d0-b4cb-573a15f839af"/>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4A6C395-212B-43E6-88F9-B9ED231A10D0}">
  <ds:schemaRefs>
    <ds:schemaRef ds:uri="http://schemas.microsoft.com/sharepoint/v3/contenttype/forms"/>
  </ds:schemaRefs>
</ds:datastoreItem>
</file>

<file path=customXml/itemProps3.xml><?xml version="1.0" encoding="utf-8"?>
<ds:datastoreItem xmlns:ds="http://schemas.openxmlformats.org/officeDocument/2006/customXml" ds:itemID="{CF026FBE-2516-4CD2-8BD7-4B8C97265D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48e1f-232e-4cdf-bc27-113ca8dd4fab"/>
    <ds:schemaRef ds:uri="01421d98-f01e-45d0-b4cb-573a15f83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 Validation</vt:lpstr>
      <vt:lpstr>Agency Projects</vt:lpstr>
      <vt:lpstr>Pivot Tables</vt:lpstr>
      <vt:lpstr>3.13.24 IFC</vt:lpstr>
      <vt:lpstr>Charts</vt:lpstr>
      <vt:lpstr>'Agency Projects'!Print_Area</vt:lpstr>
      <vt:lpstr>Charts!Print_Area</vt:lpstr>
      <vt:lpstr>'Agency Projects'!Print_Titles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Bartlett</dc:creator>
  <cp:keywords/>
  <dc:description/>
  <cp:lastModifiedBy>Nathan K. Orme</cp:lastModifiedBy>
  <cp:revision/>
  <dcterms:created xsi:type="dcterms:W3CDTF">2022-04-08T15:12:34Z</dcterms:created>
  <dcterms:modified xsi:type="dcterms:W3CDTF">2025-06-13T21:05:52Z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0x010100AD8576EBB607CC43A876918692A4B9F3</vt:lpwstr>
  </property>
</Properties>
</file>