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nv.sharepoint.com/sites/DPBHDepartment-WideStandardization/Shared Documents/General/ARPA Reporting/IFC ARPA Reporting/June 2026/"/>
    </mc:Choice>
  </mc:AlternateContent>
  <xr:revisionPtr revIDLastSave="373" documentId="13_ncr:1_{59AB4B41-4EDC-4A8B-894A-2D6354B02FD0}" xr6:coauthVersionLast="47" xr6:coauthVersionMax="47" xr10:uidLastSave="{45060BCB-D0BD-4999-B741-ACE8FDF3A2D4}"/>
  <bookViews>
    <workbookView xWindow="-108" yWindow="-108" windowWidth="23256" windowHeight="12456" activeTab="1" xr2:uid="{B1D20A1F-2664-48BE-9B62-CB210FE3E0DF}"/>
  </bookViews>
  <sheets>
    <sheet name="INSTRUCTIONS" sheetId="2" r:id="rId1"/>
    <sheet name="PROJECTS (Active)" sheetId="4" r:id="rId2"/>
    <sheet name="DHHS-DO" sheetId="5" r:id="rId3"/>
    <sheet name="ADSD" sheetId="6" r:id="rId4"/>
    <sheet name="DCFS" sheetId="10" r:id="rId5"/>
    <sheet name="DPBH" sheetId="8" r:id="rId6"/>
    <sheet name="DSS" sheetId="9" r:id="rId7"/>
  </sheets>
  <externalReferences>
    <externalReference r:id="rId8"/>
  </externalReferences>
  <definedNames>
    <definedName name="_1__123Graph_ACHART_1" localSheetId="1" hidden="1">#REF!</definedName>
    <definedName name="_xlnm._FilterDatabase" localSheetId="3" hidden="1">ADSD!$A$3:$AT$12</definedName>
    <definedName name="_xlnm._FilterDatabase" localSheetId="4" hidden="1">DCFS!$A$3:$AT$3</definedName>
    <definedName name="_xlnm._FilterDatabase" localSheetId="1" hidden="1">'PROJECTS (Active)'!$A$3:$AF$43</definedName>
    <definedName name="_Key1" localSheetId="1" hidden="1">#REF!</definedName>
    <definedName name="_Sort" hidden="1">#REF!</definedName>
    <definedName name="a" localSheetId="1" hidden="1">{"E375(1)-00",#N/A,FALSE,"E1";"E375(1)-01",#N/A,FALSE,"E1";"E375(1)-03",#N/A,FALSE,"E1";"E375(1)-04",#N/A,FALSE,"E1";"E375(1)-05",#N/A,FALSE,"E1";"E375(1)-07",#N/A,FALSE,"E1";"E375(1)-26",#N/A,FALSE,"E1";"E375(1)-30",#N/A,FALSE,"E1";"E375(1)-59",#N/A,FALSE,"E1";"E375(1)-88",#N/A,FALSE,"E1";"E375(1)-89",#N/A,FALSE,"E1";"375(1)-TOTEXP",#N/A,FALSE,"E1";"E125(1)-00",#N/A,FALSE,"E2";"E125(1)-01",#N/A,FALSE,"E2";"E125(1)-04",#N/A,FALSE,"E2";"E275-00",#N/A,FALSE,"E3";"E275-04",#N/A,FALSE,"E3";"E375(2)-00",#N/A,FALSE,"E4";"E375(3)-03",#N/A,FALSE,"E4";"E375(3)-04",#N/A,FALSE,"E4";"E375(3)-00",#N/A,FALSE,"E4";"E375(3)-03",#N/A,FALSE,"E5";"E375(3)-04",#N/A,FALSE,"E5";"E375(3)-05",#N/A,FALSE,"E5";"E375(4)-00",#N/A,FALSE,"E6";"E375(4)-07",#N/A,FALSE,"E6";"E175-00",#N/A,FALSE,"E7";"E175-30",#N/A,FALSE,"E7";"E125(2)-00",#N/A,FALSE,"E8";"E125(2)-01",#N/A,FALSE,"E8";"E125(2)-04",#N/A,FALSE,"E8";"E125(2)-05",#N/A,FALSE,"E8";"E125(2)-07",#N/A,FALSE,"E8";"E125(2)-26",#N/A,FALSE,"E8";"E125(2)-30",#N/A,FALSE,"E8";"E250-00",#N/A,FALSE,"E9";"E250-04",#N/A,FALSE,"E9";"E710-00",#N/A,FALSE,"E10";"E710-04",#N/A,FALSE,"E10";"E710-05",#N/A,FALSE,"E10";"E720-00",#N/A,FALSE,"E11";"E720-05",#N/A,FALSE,"E11";"E125(3)-00",#N/A,FALSE,"E12";"E125(3)-04",#N/A,FALSE,"E12"}</definedName>
    <definedName name="b" localSheetId="1" hidden="1">{"PROGSTMT",#N/A,FALSE,"PROGSTMT"}</definedName>
    <definedName name="C25076CC" localSheetId="1" hidden="1">{"E375(1)-00",#N/A,FALSE,"E1";"E375(1)-01",#N/A,FALSE,"E1";"E375(1)-03",#N/A,FALSE,"E1";"E375(1)-04",#N/A,FALSE,"E1";"E375(1)-05",#N/A,FALSE,"E1";"E375(1)-07",#N/A,FALSE,"E1";"E375(1)-26",#N/A,FALSE,"E1";"E375(1)-30",#N/A,FALSE,"E1";"E375(1)-59",#N/A,FALSE,"E1";"E375(1)-88",#N/A,FALSE,"E1";"E375(1)-89",#N/A,FALSE,"E1";"375(1)-TOTEXP",#N/A,FALSE,"E1";"E125(1)-00",#N/A,FALSE,"E2";"E125(1)-01",#N/A,FALSE,"E2";"E125(1)-04",#N/A,FALSE,"E2";"E275-00",#N/A,FALSE,"E3";"E275-04",#N/A,FALSE,"E3";"E375(2)-00",#N/A,FALSE,"E4";"E375(3)-03",#N/A,FALSE,"E4";"E375(3)-04",#N/A,FALSE,"E4";"E375(3)-00",#N/A,FALSE,"E4";"E375(3)-03",#N/A,FALSE,"E5";"E375(3)-04",#N/A,FALSE,"E5";"E375(3)-05",#N/A,FALSE,"E5";"E375(4)-00",#N/A,FALSE,"E6";"E375(4)-07",#N/A,FALSE,"E6";"E175-00",#N/A,FALSE,"E7";"E175-30",#N/A,FALSE,"E7";"E125(2)-00",#N/A,FALSE,"E8";"E125(2)-01",#N/A,FALSE,"E8";"E125(2)-04",#N/A,FALSE,"E8";"E125(2)-05",#N/A,FALSE,"E8";"E125(2)-07",#N/A,FALSE,"E8";"E125(2)-26",#N/A,FALSE,"E8";"E125(2)-30",#N/A,FALSE,"E8";"E250-00",#N/A,FALSE,"E9";"E250-04",#N/A,FALSE,"E9";"E710-00",#N/A,FALSE,"E10";"E710-04",#N/A,FALSE,"E10";"E710-05",#N/A,FALSE,"E10";"E720-00",#N/A,FALSE,"E11";"E720-05",#N/A,FALSE,"E11";"E125(3)-00",#N/A,FALSE,"E12";"E125(3)-04",#N/A,FALSE,"E12"}</definedName>
    <definedName name="cat13base"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donna"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donna1"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June"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long3" localSheetId="1" hidden="1">{"E375(1)-00",#N/A,FALSE,"E1";"E375(1)-01",#N/A,FALSE,"E1";"E375(1)-03",#N/A,FALSE,"E1";"E375(1)-04",#N/A,FALSE,"E1";"E375(1)-05",#N/A,FALSE,"E1";"E375(1)-07",#N/A,FALSE,"E1";"E375(1)-26",#N/A,FALSE,"E1";"E375(1)-30",#N/A,FALSE,"E1";"E375(1)-59",#N/A,FALSE,"E1";"E375(1)-88",#N/A,FALSE,"E1";"E375(1)-89",#N/A,FALSE,"E1";"375(1)-TOTEXP",#N/A,FALSE,"E1";"E125(1)-00",#N/A,FALSE,"E2";"E125(1)-01",#N/A,FALSE,"E2";"E125(1)-04",#N/A,FALSE,"E2";"E275-00",#N/A,FALSE,"E3";"E275-04",#N/A,FALSE,"E3";"E375(2)-00",#N/A,FALSE,"E4";"E375(3)-03",#N/A,FALSE,"E4";"E375(3)-04",#N/A,FALSE,"E4";"E375(3)-00",#N/A,FALSE,"E4";"E375(3)-03",#N/A,FALSE,"E5";"E375(3)-04",#N/A,FALSE,"E5";"E375(3)-05",#N/A,FALSE,"E5";"E375(4)-00",#N/A,FALSE,"E6";"E375(4)-07",#N/A,FALSE,"E6";"E175-00",#N/A,FALSE,"E7";"E175-30",#N/A,FALSE,"E7";"E125(2)-00",#N/A,FALSE,"E8";"E125(2)-01",#N/A,FALSE,"E8";"E125(2)-04",#N/A,FALSE,"E8";"E125(2)-05",#N/A,FALSE,"E8";"E125(2)-07",#N/A,FALSE,"E8";"E125(2)-26",#N/A,FALSE,"E8";"E125(2)-30",#N/A,FALSE,"E8";"E250-00",#N/A,FALSE,"E9";"E250-04",#N/A,FALSE,"E9";"E710-00",#N/A,FALSE,"E10";"E710-04",#N/A,FALSE,"E10";"E710-05",#N/A,FALSE,"E10";"E720-00",#N/A,FALSE,"E11";"E720-05",#N/A,FALSE,"E11";"E125(3)-00",#N/A,FALSE,"E12";"E125(3)-04",#N/A,FALSE,"E12"}</definedName>
    <definedName name="long4" localSheetId="1" hidden="1">{"E375(1)-00",#N/A,FALSE,"E1";"E375(1)-01",#N/A,FALSE,"E1";"E375(1)-03",#N/A,FALSE,"E1";"E375(1)-04",#N/A,FALSE,"E1";"E375(1)-05",#N/A,FALSE,"E1";"E375(1)-07",#N/A,FALSE,"E1";"E375(1)-26",#N/A,FALSE,"E1";"E375(1)-30",#N/A,FALSE,"E1";"E375(1)-59",#N/A,FALSE,"E1";"E375(1)-88",#N/A,FALSE,"E1";"E375(1)-89",#N/A,FALSE,"E1";"375(1)-TOTEXP",#N/A,FALSE,"E1";"E125(1)-00",#N/A,FALSE,"E2";"E125(1)-01",#N/A,FALSE,"E2";"E125(1)-04",#N/A,FALSE,"E2";"E275-00",#N/A,FALSE,"E3";"E275-04",#N/A,FALSE,"E3";"E375(2)-00",#N/A,FALSE,"E4";"E375(3)-03",#N/A,FALSE,"E4";"E375(3)-04",#N/A,FALSE,"E4";"E375(3)-00",#N/A,FALSE,"E4";"E375(3)-03",#N/A,FALSE,"E5";"E375(3)-04",#N/A,FALSE,"E5";"E375(3)-05",#N/A,FALSE,"E5";"E375(4)-00",#N/A,FALSE,"E6";"E375(4)-07",#N/A,FALSE,"E6";"E175-00",#N/A,FALSE,"E7";"E175-30",#N/A,FALSE,"E7";"E125(2)-00",#N/A,FALSE,"E8";"E125(2)-01",#N/A,FALSE,"E8";"E125(2)-04",#N/A,FALSE,"E8";"E125(2)-05",#N/A,FALSE,"E8";"E125(2)-07",#N/A,FALSE,"E8";"E125(2)-26",#N/A,FALSE,"E8";"E125(2)-30",#N/A,FALSE,"E8";"E250-00",#N/A,FALSE,"E9";"E250-04",#N/A,FALSE,"E9";"E710-00",#N/A,FALSE,"E10";"E710-04",#N/A,FALSE,"E10";"E710-05",#N/A,FALSE,"E10";"E720-00",#N/A,FALSE,"E11";"E720-05",#N/A,FALSE,"E11";"E125(3)-00",#N/A,FALSE,"E12";"E125(3)-04",#N/A,FALSE,"E12"}</definedName>
    <definedName name="MARTY"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narrative" localSheetId="1" hidden="1">{"PROGSTMT",#N/A,FALSE,"PROGSTMT"}</definedName>
    <definedName name="new"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_xlnm.Print_Area" localSheetId="1">'PROJECTS (Active)'!$A$4:$AE$42</definedName>
    <definedName name="_xlnm.Print_Titles" localSheetId="1">'PROJECTS (Active)'!$3:$3</definedName>
    <definedName name="refMarty"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refscott3"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refspelts100"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refspelts12"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reftest"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reftest1"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cott"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cott2"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cott3"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1"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10"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100"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11"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12"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2"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3"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4"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5"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6"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7"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8"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9"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terri"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test"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test1"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th"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wrn.BASE." localSheetId="1"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wrn.BASE._.SECTION." localSheetId="1"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wrn.Cash._.Analysis." localSheetId="1" hidden="1">{#N/A,#N/A,TRUE," Category 12, 14, 15";#N/A,#N/A,TRUE,"SFY 00";#N/A,#N/A,TRUE,"SFY 01";#N/A,#N/A,TRUE,"SFY 02";#N/A,#N/A,TRUE,"SFY 03"}</definedName>
    <definedName name="wrn.ENHANCEMENTS." localSheetId="1" hidden="1">{"E375(1)-00",#N/A,FALSE,"E1";"E375(1)-01",#N/A,FALSE,"E1";"E375(1)-03",#N/A,FALSE,"E1";"E375(1)-04",#N/A,FALSE,"E1";"E375(1)-05",#N/A,FALSE,"E1";"E375(1)-07",#N/A,FALSE,"E1";"E375(1)-26",#N/A,FALSE,"E1";"E375(1)-30",#N/A,FALSE,"E1";"E375(1)-59",#N/A,FALSE,"E1";"E375(1)-88",#N/A,FALSE,"E1";"E375(1)-89",#N/A,FALSE,"E1";"375(1)-TOTEXP",#N/A,FALSE,"E1";"E125(1)-00",#N/A,FALSE,"E2";"E125(1)-01",#N/A,FALSE,"E2";"E125(1)-04",#N/A,FALSE,"E2";"E275-00",#N/A,FALSE,"E3";"E275-04",#N/A,FALSE,"E3";"E375(2)-00",#N/A,FALSE,"E4";"E375(3)-03",#N/A,FALSE,"E4";"E375(3)-04",#N/A,FALSE,"E4";"E375(3)-00",#N/A,FALSE,"E4";"E375(3)-03",#N/A,FALSE,"E5";"E375(3)-04",#N/A,FALSE,"E5";"E375(3)-05",#N/A,FALSE,"E5";"E375(4)-00",#N/A,FALSE,"E6";"E375(4)-07",#N/A,FALSE,"E6";"E175-00",#N/A,FALSE,"E7";"E175-30",#N/A,FALSE,"E7";"E125(2)-00",#N/A,FALSE,"E8";"E125(2)-01",#N/A,FALSE,"E8";"E125(2)-04",#N/A,FALSE,"E8";"E125(2)-05",#N/A,FALSE,"E8";"E125(2)-07",#N/A,FALSE,"E8";"E125(2)-26",#N/A,FALSE,"E8";"E125(2)-30",#N/A,FALSE,"E8";"E250-00",#N/A,FALSE,"E9";"E250-04",#N/A,FALSE,"E9";"E710-00",#N/A,FALSE,"E10";"E710-04",#N/A,FALSE,"E10";"E710-05",#N/A,FALSE,"E10";"E720-00",#N/A,FALSE,"E11";"E720-05",#N/A,FALSE,"E11";"E125(3)-00",#N/A,FALSE,"E12";"E125(3)-04",#N/A,FALSE,"E12"}</definedName>
    <definedName name="wrn.FUND._.MAP." localSheetId="1" hidden="1">{"MAP LA2000",#N/A,FALSE,"3645 FUND MAP";"MAP LA2001",#N/A,FALSE,"3645 FUND MAP"}</definedName>
    <definedName name="wrn.long" localSheetId="1" hidden="1">{"M100-00",#N/A,FALSE,"M100";"M100-04",#N/A,FALSE,"M100";"M100-59",#N/A,FALSE,"M100";"M100-TOTAL",#N/A,FALSE,"M100";"M200-00",#N/A,FALSE,"M200";"M200-01",#N/A,FALSE,"M200";"M200-03",#N/A,FALSE,"M200";"M200-04",#N/A,FALSE,"M200";"M200-05",#N/A,FALSE,"M200";"M200-07",#N/A,FALSE,"M200";"M200-26",#N/A,FALSE,"M200";"M200-59",#N/A,FALSE,"M200";"M200-30",#N/A,FALSE,"M200";"M200-88",#N/A,FALSE,"M200";"M200-89",#N/A,FALSE,"M200";"M200-TOTAL",#N/A,FALSE,"M200"}</definedName>
    <definedName name="wrn.MAINT." localSheetId="1" hidden="1">{"M100-00",#N/A,FALSE,"M100";"M100-04",#N/A,FALSE,"M100";"M100-59",#N/A,FALSE,"M100";"M100-TOTAL",#N/A,FALSE,"M100";"M200-00",#N/A,FALSE,"M200";"M200-01",#N/A,FALSE,"M200";"M200-03",#N/A,FALSE,"M200";"M200-04",#N/A,FALSE,"M200";"M200-05",#N/A,FALSE,"M200";"M200-07",#N/A,FALSE,"M200";"M200-26",#N/A,FALSE,"M200";"M200-59",#N/A,FALSE,"M200";"M200-30",#N/A,FALSE,"M200";"M200-88",#N/A,FALSE,"M200";"M200-89",#N/A,FALSE,"M200";"M200-TOTAL",#N/A,FALSE,"M200"}</definedName>
    <definedName name="wrn.mainta." localSheetId="1" hidden="1">{"M100-00",#N/A,FALSE,"M100";"M100-04",#N/A,FALSE,"M100";"M100-59",#N/A,FALSE,"M100";"M100-TOTAL",#N/A,FALSE,"M100";"M200-00",#N/A,FALSE,"M200";"M200-01",#N/A,FALSE,"M200";"M200-03",#N/A,FALSE,"M200";"M200-04",#N/A,FALSE,"M200";"M200-05",#N/A,FALSE,"M200";"M200-07",#N/A,FALSE,"M200";"M200-26",#N/A,FALSE,"M200";"M200-59",#N/A,FALSE,"M200";"M200-30",#N/A,FALSE,"M200";"M200-88",#N/A,FALSE,"M200";"M200-89",#N/A,FALSE,"M200";"M200-TOTAL",#N/A,FALSE,"M200"}</definedName>
    <definedName name="wrn.NARRATIVE._.PROGRAM._.DESCRIPTION." localSheetId="1" hidden="1">{"PROGSTMT",#N/A,FALSE,"PROGSTMT"}</definedName>
    <definedName name="wrn.Operating._.Statement." localSheetId="1" hidden="1">{"Surplus",#N/A,TRUE,"Surplus";"12ths",#N/A,TRUE,"12ths";"Main Statement",#N/A,TRUE,"Main Statement"}</definedName>
    <definedName name="wrn.PROGSTMT." localSheetId="1" hidden="1">{"PROGSTMT",#N/A,FALSE,"PROGSTMT"}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4" i="4" l="1"/>
  <c r="AI44" i="4"/>
  <c r="AJ44" i="4"/>
  <c r="AK44" i="4"/>
  <c r="AL44" i="4"/>
  <c r="AM44" i="4"/>
  <c r="AN44" i="4"/>
  <c r="AO44" i="4"/>
  <c r="AP44" i="4"/>
  <c r="AQ44" i="4"/>
  <c r="AR44" i="4"/>
  <c r="AG44" i="4"/>
  <c r="AG43" i="4"/>
  <c r="AS32" i="4"/>
  <c r="AT32" i="4"/>
  <c r="AS33" i="4"/>
  <c r="AT33" i="4"/>
  <c r="AS34" i="4"/>
  <c r="AT34" i="4"/>
  <c r="AS35" i="4"/>
  <c r="AT35" i="4"/>
  <c r="AS36" i="4"/>
  <c r="AT36" i="4"/>
  <c r="AS37" i="4"/>
  <c r="AT37" i="4"/>
  <c r="AS38" i="4"/>
  <c r="AT38" i="4"/>
  <c r="AS39" i="4"/>
  <c r="AT39" i="4"/>
  <c r="AS40" i="4"/>
  <c r="AT40" i="4"/>
  <c r="AS41" i="4"/>
  <c r="AT41" i="4"/>
  <c r="AS42" i="4"/>
  <c r="AT42" i="4"/>
  <c r="AT31" i="4"/>
  <c r="AS31" i="4"/>
  <c r="AJ33" i="4"/>
  <c r="AK33" i="4"/>
  <c r="AN39" i="4"/>
  <c r="AO39" i="4"/>
  <c r="AP39" i="4"/>
  <c r="AN40" i="4"/>
  <c r="AO40" i="4"/>
  <c r="AP40" i="4"/>
  <c r="AN41" i="4"/>
  <c r="AO41" i="4"/>
  <c r="AP41" i="4"/>
  <c r="AN42" i="4"/>
  <c r="AO42" i="4"/>
  <c r="AP42" i="4"/>
  <c r="AN35" i="4"/>
  <c r="AO35" i="4"/>
  <c r="AP35" i="4"/>
  <c r="AN36" i="4"/>
  <c r="AO36" i="4"/>
  <c r="AP36" i="4"/>
  <c r="AJ35" i="4"/>
  <c r="AK35" i="4"/>
  <c r="AL35" i="4"/>
  <c r="AM35" i="4"/>
  <c r="AJ36" i="4"/>
  <c r="AK36" i="4"/>
  <c r="AL36" i="4"/>
  <c r="AM36" i="4"/>
  <c r="AJ37" i="4"/>
  <c r="AK37" i="4"/>
  <c r="AL37" i="4"/>
  <c r="AM37" i="4"/>
  <c r="AJ38" i="4"/>
  <c r="AK38" i="4"/>
  <c r="AL38" i="4"/>
  <c r="AM38" i="4"/>
  <c r="AJ39" i="4"/>
  <c r="AK39" i="4"/>
  <c r="AL39" i="4"/>
  <c r="AM39" i="4"/>
  <c r="AJ40" i="4"/>
  <c r="AK40" i="4"/>
  <c r="AL40" i="4"/>
  <c r="AM40" i="4"/>
  <c r="AJ41" i="4"/>
  <c r="AK41" i="4"/>
  <c r="AL41" i="4"/>
  <c r="AM41" i="4"/>
  <c r="AJ42" i="4"/>
  <c r="AK42" i="4"/>
  <c r="AL42" i="4"/>
  <c r="AM42" i="4"/>
  <c r="AH33" i="4"/>
  <c r="AI33" i="4"/>
  <c r="AH34" i="4"/>
  <c r="AI34" i="4"/>
  <c r="AH35" i="4"/>
  <c r="AI35" i="4"/>
  <c r="AH36" i="4"/>
  <c r="AI36" i="4"/>
  <c r="AH37" i="4"/>
  <c r="AI37" i="4"/>
  <c r="AH38" i="4"/>
  <c r="AI38" i="4"/>
  <c r="AH39" i="4"/>
  <c r="AI39" i="4"/>
  <c r="AH40" i="4"/>
  <c r="AI40" i="4"/>
  <c r="AH41" i="4"/>
  <c r="AI41" i="4"/>
  <c r="AH42" i="4"/>
  <c r="AI42" i="4"/>
  <c r="AH31" i="4"/>
  <c r="AI31" i="4"/>
  <c r="AJ31" i="4"/>
  <c r="AK31" i="4"/>
  <c r="AL31" i="4"/>
  <c r="AM31" i="4"/>
  <c r="AN31" i="4"/>
  <c r="AO31" i="4"/>
  <c r="AP31" i="4"/>
  <c r="AH32" i="4"/>
  <c r="AI32" i="4"/>
  <c r="AJ32" i="4"/>
  <c r="AK32" i="4"/>
  <c r="AL32" i="4"/>
  <c r="AM32" i="4"/>
  <c r="AN32" i="4"/>
  <c r="AO32" i="4"/>
  <c r="AP32" i="4"/>
  <c r="AG32" i="4"/>
  <c r="AG33" i="4"/>
  <c r="AG34" i="4"/>
  <c r="AG35" i="4"/>
  <c r="AG36" i="4"/>
  <c r="AG37" i="4"/>
  <c r="AG38" i="4"/>
  <c r="AG39" i="4"/>
  <c r="AG40" i="4"/>
  <c r="AG41" i="4"/>
  <c r="AG42" i="4"/>
  <c r="AG31" i="4"/>
  <c r="AS14" i="4"/>
  <c r="AT14" i="4"/>
  <c r="AS15" i="4"/>
  <c r="AT15" i="4"/>
  <c r="AS16" i="4"/>
  <c r="AT16" i="4"/>
  <c r="AS17" i="4"/>
  <c r="AT17" i="4"/>
  <c r="AS18" i="4"/>
  <c r="AT18" i="4"/>
  <c r="AS19" i="4"/>
  <c r="AT19" i="4"/>
  <c r="AS20" i="4"/>
  <c r="AT20" i="4"/>
  <c r="AS21" i="4"/>
  <c r="AT21" i="4"/>
  <c r="AS22" i="4"/>
  <c r="AT22" i="4"/>
  <c r="AS23" i="4"/>
  <c r="AT23" i="4"/>
  <c r="AS24" i="4"/>
  <c r="AT24" i="4"/>
  <c r="AS25" i="4"/>
  <c r="AT25" i="4"/>
  <c r="AS26" i="4"/>
  <c r="AT26" i="4"/>
  <c r="AS27" i="4"/>
  <c r="AT27" i="4"/>
  <c r="AT13" i="4"/>
  <c r="AS13" i="4"/>
  <c r="AJ13" i="4"/>
  <c r="AK13" i="4"/>
  <c r="AL13" i="4"/>
  <c r="AM13" i="4"/>
  <c r="AN13" i="4"/>
  <c r="AO13" i="4"/>
  <c r="AP13" i="4"/>
  <c r="AM24" i="4"/>
  <c r="AN24" i="4"/>
  <c r="AO24" i="4"/>
  <c r="AP24" i="4"/>
  <c r="AM25" i="4"/>
  <c r="AN25" i="4"/>
  <c r="AO25" i="4"/>
  <c r="AP25" i="4"/>
  <c r="AM26" i="4"/>
  <c r="AN26" i="4"/>
  <c r="AO26" i="4"/>
  <c r="AP26" i="4"/>
  <c r="AM27" i="4"/>
  <c r="AN27" i="4"/>
  <c r="AO27" i="4"/>
  <c r="AP27" i="4"/>
  <c r="AN21" i="4"/>
  <c r="AO21" i="4"/>
  <c r="AP21" i="4"/>
  <c r="AM21" i="4"/>
  <c r="AM22" i="4"/>
  <c r="AH21" i="4"/>
  <c r="AI21" i="4"/>
  <c r="AJ21" i="4"/>
  <c r="AK21" i="4"/>
  <c r="AL21" i="4"/>
  <c r="AH22" i="4"/>
  <c r="AI22" i="4"/>
  <c r="AJ22" i="4"/>
  <c r="AK22" i="4"/>
  <c r="AL22" i="4"/>
  <c r="AH23" i="4"/>
  <c r="AI23" i="4"/>
  <c r="AJ23" i="4"/>
  <c r="AK23" i="4"/>
  <c r="AL23" i="4"/>
  <c r="AH24" i="4"/>
  <c r="AI24" i="4"/>
  <c r="AJ24" i="4"/>
  <c r="AK24" i="4"/>
  <c r="AL24" i="4"/>
  <c r="AH25" i="4"/>
  <c r="AI25" i="4"/>
  <c r="AJ25" i="4"/>
  <c r="AK25" i="4"/>
  <c r="AL25" i="4"/>
  <c r="AH26" i="4"/>
  <c r="AI26" i="4"/>
  <c r="AJ26" i="4"/>
  <c r="AK26" i="4"/>
  <c r="AL26" i="4"/>
  <c r="AH27" i="4"/>
  <c r="AI27" i="4"/>
  <c r="AJ27" i="4"/>
  <c r="AK27" i="4"/>
  <c r="AL27" i="4"/>
  <c r="AJ18" i="4"/>
  <c r="AK18" i="4"/>
  <c r="AL18" i="4"/>
  <c r="AM18" i="4"/>
  <c r="AN18" i="4"/>
  <c r="AO18" i="4"/>
  <c r="AP18" i="4"/>
  <c r="AJ19" i="4"/>
  <c r="AK19" i="4"/>
  <c r="AL19" i="4"/>
  <c r="AM19" i="4"/>
  <c r="AN19" i="4"/>
  <c r="AO19" i="4"/>
  <c r="AP19" i="4"/>
  <c r="AJ14" i="4"/>
  <c r="AK14" i="4"/>
  <c r="AL14" i="4"/>
  <c r="AM14" i="4"/>
  <c r="AN14" i="4"/>
  <c r="AO14" i="4"/>
  <c r="AP14" i="4"/>
  <c r="AJ15" i="4"/>
  <c r="AK15" i="4"/>
  <c r="AL15" i="4"/>
  <c r="AM15" i="4"/>
  <c r="AN15" i="4"/>
  <c r="AO15" i="4"/>
  <c r="AP15" i="4"/>
  <c r="AH13" i="4"/>
  <c r="AI13" i="4"/>
  <c r="AH14" i="4"/>
  <c r="AI14" i="4"/>
  <c r="AH15" i="4"/>
  <c r="AI15" i="4"/>
  <c r="AH16" i="4"/>
  <c r="AI16" i="4"/>
  <c r="AH17" i="4"/>
  <c r="AI17" i="4"/>
  <c r="AH18" i="4"/>
  <c r="AI18" i="4"/>
  <c r="AH19" i="4"/>
  <c r="AI19" i="4"/>
  <c r="AG14" i="4"/>
  <c r="AG15" i="4"/>
  <c r="AG16" i="4"/>
  <c r="AG17" i="4"/>
  <c r="AG18" i="4"/>
  <c r="AG19" i="4"/>
  <c r="AG20" i="4"/>
  <c r="AG21" i="4"/>
  <c r="AG22" i="4"/>
  <c r="AG23" i="4"/>
  <c r="AG24" i="4"/>
  <c r="AG25" i="4"/>
  <c r="AG26" i="4"/>
  <c r="AG27" i="4"/>
  <c r="AG13" i="4"/>
  <c r="AT5" i="4"/>
  <c r="AT6" i="4"/>
  <c r="AT7" i="4"/>
  <c r="AT8" i="4"/>
  <c r="AT9" i="4"/>
  <c r="AT10" i="4"/>
  <c r="AT11" i="4"/>
  <c r="AT12" i="4"/>
  <c r="AS6" i="4"/>
  <c r="AS7" i="4"/>
  <c r="AS8" i="4"/>
  <c r="AS9" i="4"/>
  <c r="AS10" i="4"/>
  <c r="AS11" i="4"/>
  <c r="AS12" i="4"/>
  <c r="AM12" i="4"/>
  <c r="AN12" i="4"/>
  <c r="AO12" i="4"/>
  <c r="AP12" i="4"/>
  <c r="AM9" i="4"/>
  <c r="AN9" i="4"/>
  <c r="AO9" i="4"/>
  <c r="AP9" i="4"/>
  <c r="AM10" i="4"/>
  <c r="AN10" i="4"/>
  <c r="AO10" i="4"/>
  <c r="AP10" i="4"/>
  <c r="AM6" i="4"/>
  <c r="AN6" i="4"/>
  <c r="AO6" i="4"/>
  <c r="AP6" i="4"/>
  <c r="AM7" i="4"/>
  <c r="AN7" i="4"/>
  <c r="AO7" i="4"/>
  <c r="AP7" i="4"/>
  <c r="AH6" i="4"/>
  <c r="AI6" i="4"/>
  <c r="AJ6" i="4"/>
  <c r="AK6" i="4"/>
  <c r="AL6" i="4"/>
  <c r="AH7" i="4"/>
  <c r="AI7" i="4"/>
  <c r="AJ7" i="4"/>
  <c r="AK7" i="4"/>
  <c r="AL7" i="4"/>
  <c r="AH8" i="4"/>
  <c r="AI8" i="4"/>
  <c r="AJ8" i="4"/>
  <c r="AK8" i="4"/>
  <c r="AL8" i="4"/>
  <c r="AH9" i="4"/>
  <c r="AI9" i="4"/>
  <c r="AJ9" i="4"/>
  <c r="AK9" i="4"/>
  <c r="AL9" i="4"/>
  <c r="AH10" i="4"/>
  <c r="AI10" i="4"/>
  <c r="AJ10" i="4"/>
  <c r="AK10" i="4"/>
  <c r="AL10" i="4"/>
  <c r="AH11" i="4"/>
  <c r="AI11" i="4"/>
  <c r="AJ11" i="4"/>
  <c r="AK11" i="4"/>
  <c r="AL11" i="4"/>
  <c r="AH12" i="4"/>
  <c r="AI12" i="4"/>
  <c r="AJ12" i="4"/>
  <c r="AK12" i="4"/>
  <c r="AL12" i="4"/>
  <c r="AG12" i="4"/>
  <c r="AG7" i="4"/>
  <c r="AG8" i="4"/>
  <c r="AG9" i="4"/>
  <c r="AG10" i="4"/>
  <c r="AG11" i="4"/>
  <c r="AG6" i="4"/>
  <c r="AT28" i="4"/>
  <c r="AT29" i="4"/>
  <c r="AT30" i="4"/>
  <c r="AS29" i="4"/>
  <c r="AS30" i="4"/>
  <c r="AS28" i="4"/>
  <c r="AP28" i="4"/>
  <c r="AH29" i="4"/>
  <c r="AI29" i="4"/>
  <c r="AJ29" i="4"/>
  <c r="AK29" i="4"/>
  <c r="AL29" i="4"/>
  <c r="AM29" i="4"/>
  <c r="AN29" i="4"/>
  <c r="AO29" i="4"/>
  <c r="AP29" i="4"/>
  <c r="AH30" i="4"/>
  <c r="AI30" i="4"/>
  <c r="AJ30" i="4"/>
  <c r="AK30" i="4"/>
  <c r="AL30" i="4"/>
  <c r="AM30" i="4"/>
  <c r="AN30" i="4"/>
  <c r="AO30" i="4"/>
  <c r="AP30" i="4"/>
  <c r="AG30" i="4"/>
  <c r="AG29" i="4"/>
  <c r="AH28" i="4"/>
  <c r="AI28" i="4"/>
  <c r="AJ28" i="4"/>
  <c r="AK28" i="4"/>
  <c r="AL28" i="4"/>
  <c r="AM28" i="4"/>
  <c r="AN28" i="4"/>
  <c r="AO28" i="4"/>
  <c r="AG28" i="4"/>
  <c r="AS5" i="4" l="1"/>
  <c r="AT4" i="4"/>
  <c r="AS4" i="4"/>
  <c r="AH4" i="4"/>
  <c r="AI4" i="4"/>
  <c r="AJ4" i="4"/>
  <c r="AK4" i="4"/>
  <c r="AL4" i="4"/>
  <c r="AM4" i="4"/>
  <c r="AN4" i="4"/>
  <c r="AO4" i="4"/>
  <c r="AP4" i="4"/>
  <c r="AG4" i="4"/>
  <c r="AH5" i="4"/>
  <c r="AI5" i="4"/>
  <c r="AG5" i="4"/>
  <c r="AJ14" i="10"/>
  <c r="AI14" i="10"/>
  <c r="AO14" i="10"/>
  <c r="AL14" i="10"/>
  <c r="AM14" i="10"/>
  <c r="AN14" i="10"/>
  <c r="AK14" i="10"/>
  <c r="AI9" i="10" l="1"/>
  <c r="AQ9" i="10" s="1"/>
  <c r="AI15" i="10"/>
  <c r="AQ11" i="6"/>
  <c r="AI7" i="10"/>
  <c r="AQ5" i="9"/>
  <c r="AQ4" i="9"/>
  <c r="AR5" i="9"/>
  <c r="AR4" i="9"/>
  <c r="AQ6" i="9"/>
  <c r="AJ5" i="5"/>
  <c r="AP16" i="10"/>
  <c r="AO16" i="10"/>
  <c r="AN16" i="10"/>
  <c r="AM16" i="10"/>
  <c r="AL16" i="10"/>
  <c r="AK16" i="10"/>
  <c r="AJ16" i="10"/>
  <c r="AI16" i="10"/>
  <c r="AH16" i="10"/>
  <c r="AG16" i="10"/>
  <c r="AC16" i="10"/>
  <c r="AC1" i="10" s="1"/>
  <c r="AB16" i="10"/>
  <c r="AB1" i="10" s="1"/>
  <c r="AA16" i="10"/>
  <c r="Z16" i="10"/>
  <c r="Z1" i="10" s="1"/>
  <c r="Y16" i="10"/>
  <c r="X16" i="10"/>
  <c r="X1" i="10" s="1"/>
  <c r="W16" i="10"/>
  <c r="T16" i="10"/>
  <c r="T1" i="10" s="1"/>
  <c r="P16" i="10"/>
  <c r="P1" i="10" s="1"/>
  <c r="O16" i="10"/>
  <c r="O1" i="10" s="1"/>
  <c r="AQ15" i="10"/>
  <c r="AD15" i="10"/>
  <c r="R15" i="10"/>
  <c r="U15" i="10" s="1"/>
  <c r="M15" i="10"/>
  <c r="N15" i="10" s="1"/>
  <c r="AQ14" i="10"/>
  <c r="AD14" i="10"/>
  <c r="U14" i="10"/>
  <c r="V14" i="10" s="1"/>
  <c r="N14" i="10"/>
  <c r="AQ13" i="10"/>
  <c r="AD13" i="10"/>
  <c r="U13" i="10"/>
  <c r="V13" i="10" s="1"/>
  <c r="N13" i="10"/>
  <c r="AQ12" i="10"/>
  <c r="AD12" i="10"/>
  <c r="U12" i="10"/>
  <c r="V12" i="10" s="1"/>
  <c r="N12" i="10"/>
  <c r="AQ11" i="10"/>
  <c r="AD11" i="10"/>
  <c r="U11" i="10"/>
  <c r="V11" i="10" s="1"/>
  <c r="N11" i="10"/>
  <c r="AQ10" i="10"/>
  <c r="AD10" i="10"/>
  <c r="U10" i="10"/>
  <c r="V10" i="10" s="1"/>
  <c r="N10" i="10"/>
  <c r="AD9" i="10"/>
  <c r="Q9" i="10"/>
  <c r="U9" i="10" s="1"/>
  <c r="M9" i="10"/>
  <c r="K9" i="10"/>
  <c r="AQ8" i="10"/>
  <c r="AD8" i="10"/>
  <c r="U8" i="10"/>
  <c r="V8" i="10" s="1"/>
  <c r="AE8" i="10" s="1"/>
  <c r="N8" i="10"/>
  <c r="AQ7" i="10"/>
  <c r="AD7" i="10"/>
  <c r="U7" i="10"/>
  <c r="V7" i="10" s="1"/>
  <c r="AE7" i="10" s="1"/>
  <c r="N7" i="10"/>
  <c r="AQ6" i="10"/>
  <c r="AD6" i="10"/>
  <c r="U6" i="10"/>
  <c r="V6" i="10" s="1"/>
  <c r="AE6" i="10" s="1"/>
  <c r="N6" i="10"/>
  <c r="AQ5" i="10"/>
  <c r="AD5" i="10"/>
  <c r="U5" i="10"/>
  <c r="V5" i="10" s="1"/>
  <c r="N5" i="10"/>
  <c r="AQ4" i="10"/>
  <c r="AD4" i="10"/>
  <c r="U4" i="10"/>
  <c r="V4" i="10" s="1"/>
  <c r="AE4" i="10" s="1"/>
  <c r="N4" i="10"/>
  <c r="S16" i="10"/>
  <c r="S1" i="10" s="1"/>
  <c r="AI3" i="10"/>
  <c r="AJ3" i="10" s="1"/>
  <c r="AK3" i="10" s="1"/>
  <c r="AL3" i="10" s="1"/>
  <c r="AM3" i="10" s="1"/>
  <c r="AN3" i="10" s="1"/>
  <c r="AO3" i="10" s="1"/>
  <c r="AC2" i="10"/>
  <c r="AB2" i="10"/>
  <c r="AA2" i="10"/>
  <c r="Z2" i="10"/>
  <c r="Y2" i="10"/>
  <c r="X2" i="10"/>
  <c r="W2" i="10"/>
  <c r="M2" i="10"/>
  <c r="L2" i="10"/>
  <c r="K2" i="10"/>
  <c r="AA1" i="10"/>
  <c r="Y1" i="10"/>
  <c r="W1" i="10"/>
  <c r="AP7" i="9"/>
  <c r="AO7" i="9"/>
  <c r="AN7" i="9"/>
  <c r="AM7" i="9"/>
  <c r="AL7" i="9"/>
  <c r="AK7" i="9"/>
  <c r="AJ7" i="9"/>
  <c r="AI7" i="9"/>
  <c r="AH7" i="9"/>
  <c r="AG7" i="9"/>
  <c r="AC7" i="9"/>
  <c r="AC1" i="9" s="1"/>
  <c r="AB7" i="9"/>
  <c r="AB1" i="9" s="1"/>
  <c r="AA7" i="9"/>
  <c r="Z7" i="9"/>
  <c r="Y7" i="9"/>
  <c r="Y1" i="9" s="1"/>
  <c r="X7" i="9"/>
  <c r="X1" i="9" s="1"/>
  <c r="W7" i="9"/>
  <c r="W1" i="9" s="1"/>
  <c r="T7" i="9"/>
  <c r="T1" i="9" s="1"/>
  <c r="P7" i="9"/>
  <c r="P1" i="9" s="1"/>
  <c r="O7" i="9"/>
  <c r="O1" i="9" s="1"/>
  <c r="AD6" i="9"/>
  <c r="U6" i="9"/>
  <c r="V6" i="9" s="1"/>
  <c r="AE6" i="9" s="1"/>
  <c r="N6" i="9"/>
  <c r="AD5" i="9"/>
  <c r="U5" i="9"/>
  <c r="V5" i="9" s="1"/>
  <c r="AE5" i="9" s="1"/>
  <c r="N5" i="9"/>
  <c r="AQ7" i="9"/>
  <c r="AQ1" i="9" s="1"/>
  <c r="AD4" i="9"/>
  <c r="U4" i="9"/>
  <c r="V4" i="9" s="1"/>
  <c r="N4" i="9"/>
  <c r="Q7" i="9"/>
  <c r="Q1" i="9" s="1"/>
  <c r="S7" i="9"/>
  <c r="S1" i="9" s="1"/>
  <c r="AI3" i="9"/>
  <c r="AJ3" i="9" s="1"/>
  <c r="AK3" i="9" s="1"/>
  <c r="AL3" i="9" s="1"/>
  <c r="AM3" i="9" s="1"/>
  <c r="AN3" i="9" s="1"/>
  <c r="AO3" i="9" s="1"/>
  <c r="AC2" i="9"/>
  <c r="AB2" i="9"/>
  <c r="AA2" i="9"/>
  <c r="Z2" i="9"/>
  <c r="Y2" i="9"/>
  <c r="X2" i="9"/>
  <c r="W2" i="9"/>
  <c r="M2" i="9"/>
  <c r="L2" i="9"/>
  <c r="K2" i="9"/>
  <c r="AA1" i="9"/>
  <c r="Z1" i="9"/>
  <c r="AP19" i="8"/>
  <c r="AO19" i="8"/>
  <c r="AN19" i="8"/>
  <c r="AM19" i="8"/>
  <c r="AL19" i="8"/>
  <c r="AK19" i="8"/>
  <c r="AJ19" i="8"/>
  <c r="AI19" i="8"/>
  <c r="AH19" i="8"/>
  <c r="AG19" i="8"/>
  <c r="AC19" i="8"/>
  <c r="AB19" i="8"/>
  <c r="AB1" i="8" s="1"/>
  <c r="AA19" i="8"/>
  <c r="AA1" i="8" s="1"/>
  <c r="Z19" i="8"/>
  <c r="Z1" i="8" s="1"/>
  <c r="Y19" i="8"/>
  <c r="Y1" i="8" s="1"/>
  <c r="X19" i="8"/>
  <c r="X1" i="8" s="1"/>
  <c r="W19" i="8"/>
  <c r="W1" i="8" s="1"/>
  <c r="T19" i="8"/>
  <c r="T1" i="8" s="1"/>
  <c r="S19" i="8"/>
  <c r="S1" i="8" s="1"/>
  <c r="P19" i="8"/>
  <c r="P1" i="8" s="1"/>
  <c r="O19" i="8"/>
  <c r="O1" i="8" s="1"/>
  <c r="R19" i="8"/>
  <c r="AQ18" i="8"/>
  <c r="AD18" i="8"/>
  <c r="U18" i="8"/>
  <c r="V18" i="8" s="1"/>
  <c r="N18" i="8"/>
  <c r="AQ17" i="8"/>
  <c r="AD17" i="8"/>
  <c r="U17" i="8"/>
  <c r="L17" i="8"/>
  <c r="N17" i="8" s="1"/>
  <c r="AQ16" i="8"/>
  <c r="AD16" i="8"/>
  <c r="Q16" i="8"/>
  <c r="U16" i="8" s="1"/>
  <c r="V16" i="8" s="1"/>
  <c r="N16" i="8"/>
  <c r="AQ15" i="8"/>
  <c r="AD15" i="8"/>
  <c r="U15" i="8"/>
  <c r="V15" i="8" s="1"/>
  <c r="N15" i="8"/>
  <c r="AQ14" i="8"/>
  <c r="AD14" i="8"/>
  <c r="U14" i="8"/>
  <c r="V14" i="8" s="1"/>
  <c r="N14" i="8"/>
  <c r="AQ13" i="8"/>
  <c r="AD13" i="8"/>
  <c r="U13" i="8"/>
  <c r="V13" i="8" s="1"/>
  <c r="N13" i="8"/>
  <c r="AQ12" i="8"/>
  <c r="AD12" i="8"/>
  <c r="U12" i="8"/>
  <c r="K12" i="8"/>
  <c r="AQ11" i="8"/>
  <c r="AD11" i="8"/>
  <c r="U11" i="8"/>
  <c r="V11" i="8" s="1"/>
  <c r="N11" i="8"/>
  <c r="AQ10" i="8"/>
  <c r="AD10" i="8"/>
  <c r="AF10" i="8" s="1"/>
  <c r="U10" i="8"/>
  <c r="V10" i="8" s="1"/>
  <c r="N10" i="8"/>
  <c r="AQ9" i="8"/>
  <c r="AD9" i="8"/>
  <c r="U9" i="8"/>
  <c r="V9" i="8" s="1"/>
  <c r="N9" i="8"/>
  <c r="AQ8" i="8"/>
  <c r="AF8" i="8"/>
  <c r="AD8" i="8"/>
  <c r="U8" i="8"/>
  <c r="V8" i="8" s="1"/>
  <c r="N8" i="8"/>
  <c r="AQ7" i="8"/>
  <c r="AD7" i="8"/>
  <c r="U7" i="8"/>
  <c r="V7" i="8" s="1"/>
  <c r="N7" i="8"/>
  <c r="AQ6" i="8"/>
  <c r="AD6" i="8"/>
  <c r="U6" i="8"/>
  <c r="V6" i="8" s="1"/>
  <c r="N6" i="8"/>
  <c r="AQ5" i="8"/>
  <c r="AD5" i="8"/>
  <c r="U5" i="8"/>
  <c r="K5" i="8"/>
  <c r="N5" i="8" s="1"/>
  <c r="AQ4" i="8"/>
  <c r="AD4" i="8"/>
  <c r="U4" i="8"/>
  <c r="V4" i="8" s="1"/>
  <c r="AE4" i="8" s="1"/>
  <c r="N4" i="8"/>
  <c r="AI3" i="8"/>
  <c r="AJ3" i="8" s="1"/>
  <c r="AK3" i="8" s="1"/>
  <c r="AL3" i="8" s="1"/>
  <c r="AM3" i="8" s="1"/>
  <c r="AN3" i="8" s="1"/>
  <c r="AO3" i="8" s="1"/>
  <c r="AC2" i="8"/>
  <c r="AB2" i="8"/>
  <c r="AA2" i="8"/>
  <c r="Z2" i="8"/>
  <c r="Y2" i="8"/>
  <c r="X2" i="8"/>
  <c r="W2" i="8"/>
  <c r="M2" i="8"/>
  <c r="L2" i="8"/>
  <c r="K2" i="8"/>
  <c r="AC1" i="8"/>
  <c r="R1" i="8"/>
  <c r="AP12" i="6"/>
  <c r="AO12" i="6"/>
  <c r="AN12" i="6"/>
  <c r="AM12" i="6"/>
  <c r="AL12" i="6"/>
  <c r="AK12" i="6"/>
  <c r="AJ12" i="6"/>
  <c r="AI12" i="6"/>
  <c r="AH12" i="6"/>
  <c r="AG12" i="6"/>
  <c r="AC12" i="6"/>
  <c r="AC1" i="6" s="1"/>
  <c r="AB12" i="6"/>
  <c r="AB1" i="6" s="1"/>
  <c r="AA12" i="6"/>
  <c r="AA1" i="6" s="1"/>
  <c r="Z12" i="6"/>
  <c r="Z1" i="6" s="1"/>
  <c r="Y12" i="6"/>
  <c r="Y1" i="6" s="1"/>
  <c r="X12" i="6"/>
  <c r="X1" i="6" s="1"/>
  <c r="W12" i="6"/>
  <c r="T12" i="6"/>
  <c r="T1" i="6" s="1"/>
  <c r="Q12" i="6"/>
  <c r="Q1" i="6" s="1"/>
  <c r="P12" i="6"/>
  <c r="P1" i="6" s="1"/>
  <c r="O12" i="6"/>
  <c r="O1" i="6" s="1"/>
  <c r="AD11" i="6"/>
  <c r="U11" i="6"/>
  <c r="V11" i="6" s="1"/>
  <c r="AE11" i="6" s="1"/>
  <c r="N11" i="6"/>
  <c r="AQ10" i="6"/>
  <c r="AD10" i="6"/>
  <c r="V10" i="6"/>
  <c r="U10" i="6"/>
  <c r="N10" i="6"/>
  <c r="AQ9" i="6"/>
  <c r="AD9" i="6"/>
  <c r="S9" i="6"/>
  <c r="N9" i="6"/>
  <c r="AQ8" i="6"/>
  <c r="AD8" i="6"/>
  <c r="U8" i="6"/>
  <c r="V8" i="6" s="1"/>
  <c r="N8" i="6"/>
  <c r="AQ7" i="6"/>
  <c r="AD7" i="6"/>
  <c r="AF7" i="6" s="1"/>
  <c r="U7" i="6"/>
  <c r="V7" i="6" s="1"/>
  <c r="N7" i="6"/>
  <c r="AQ6" i="6"/>
  <c r="AD6" i="6"/>
  <c r="U6" i="6"/>
  <c r="V6" i="6" s="1"/>
  <c r="N6" i="6"/>
  <c r="AQ5" i="6"/>
  <c r="AD5" i="6"/>
  <c r="U5" i="6"/>
  <c r="V5" i="6" s="1"/>
  <c r="N5" i="6"/>
  <c r="AQ4" i="6"/>
  <c r="AD4" i="6"/>
  <c r="U4" i="6"/>
  <c r="V4" i="6" s="1"/>
  <c r="N4" i="6"/>
  <c r="AI3" i="6"/>
  <c r="AJ3" i="6" s="1"/>
  <c r="AK3" i="6" s="1"/>
  <c r="AL3" i="6" s="1"/>
  <c r="AM3" i="6" s="1"/>
  <c r="AN3" i="6" s="1"/>
  <c r="AO3" i="6" s="1"/>
  <c r="AC2" i="6"/>
  <c r="AB2" i="6"/>
  <c r="AA2" i="6"/>
  <c r="Z2" i="6"/>
  <c r="Y2" i="6"/>
  <c r="X2" i="6"/>
  <c r="W2" i="6"/>
  <c r="M2" i="6"/>
  <c r="L2" i="6"/>
  <c r="K2" i="6"/>
  <c r="W1" i="6"/>
  <c r="AP5" i="5"/>
  <c r="AO5" i="5"/>
  <c r="AN5" i="5"/>
  <c r="AM5" i="5"/>
  <c r="AL5" i="5"/>
  <c r="AK5" i="5"/>
  <c r="AI5" i="5"/>
  <c r="AH5" i="5"/>
  <c r="AG5" i="5"/>
  <c r="AC5" i="5"/>
  <c r="AC1" i="5" s="1"/>
  <c r="AB5" i="5"/>
  <c r="AB1" i="5" s="1"/>
  <c r="AA5" i="5"/>
  <c r="AA1" i="5" s="1"/>
  <c r="Z5" i="5"/>
  <c r="Y5" i="5"/>
  <c r="X5" i="5"/>
  <c r="X1" i="5" s="1"/>
  <c r="W5" i="5"/>
  <c r="W1" i="5" s="1"/>
  <c r="T5" i="5"/>
  <c r="T1" i="5" s="1"/>
  <c r="P5" i="5"/>
  <c r="P1" i="5" s="1"/>
  <c r="O5" i="5"/>
  <c r="O1" i="5" s="1"/>
  <c r="R5" i="5"/>
  <c r="R1" i="5" s="1"/>
  <c r="AQ4" i="5"/>
  <c r="AD4" i="5"/>
  <c r="U4" i="5"/>
  <c r="V4" i="5" s="1"/>
  <c r="AE4" i="5" s="1"/>
  <c r="N4" i="5"/>
  <c r="AI3" i="5"/>
  <c r="AJ3" i="5" s="1"/>
  <c r="AK3" i="5" s="1"/>
  <c r="AL3" i="5" s="1"/>
  <c r="AM3" i="5" s="1"/>
  <c r="AN3" i="5" s="1"/>
  <c r="AO3" i="5" s="1"/>
  <c r="AC2" i="5"/>
  <c r="AB2" i="5"/>
  <c r="AA2" i="5"/>
  <c r="Z2" i="5"/>
  <c r="Y2" i="5"/>
  <c r="X2" i="5"/>
  <c r="W2" i="5"/>
  <c r="M2" i="5"/>
  <c r="L2" i="5"/>
  <c r="K2" i="5"/>
  <c r="Z1" i="5"/>
  <c r="Y1" i="5"/>
  <c r="AF5" i="6" l="1"/>
  <c r="AF8" i="6"/>
  <c r="N9" i="10"/>
  <c r="N16" i="10" s="1"/>
  <c r="N1" i="10" s="1"/>
  <c r="V9" i="10"/>
  <c r="AE9" i="10" s="1"/>
  <c r="AR9" i="10" s="1"/>
  <c r="AE5" i="10"/>
  <c r="N7" i="9"/>
  <c r="N1" i="9" s="1"/>
  <c r="AF5" i="10"/>
  <c r="AF6" i="10"/>
  <c r="AF7" i="10"/>
  <c r="AE10" i="10"/>
  <c r="AR10" i="10" s="1"/>
  <c r="AR4" i="10"/>
  <c r="AR8" i="10"/>
  <c r="AR5" i="10"/>
  <c r="V15" i="10"/>
  <c r="AE15" i="10" s="1"/>
  <c r="AR15" i="10" s="1"/>
  <c r="Q16" i="10"/>
  <c r="Q1" i="10" s="1"/>
  <c r="AF4" i="10"/>
  <c r="AF8" i="10"/>
  <c r="AD16" i="10"/>
  <c r="AD1" i="10" s="1"/>
  <c r="AQ16" i="10"/>
  <c r="AQ1" i="10" s="1"/>
  <c r="AE11" i="10"/>
  <c r="AR11" i="10" s="1"/>
  <c r="AF11" i="10"/>
  <c r="AE12" i="10"/>
  <c r="AR12" i="10" s="1"/>
  <c r="AF12" i="10"/>
  <c r="AF13" i="10"/>
  <c r="AE13" i="10"/>
  <c r="AR13" i="10" s="1"/>
  <c r="AF14" i="10"/>
  <c r="AE14" i="10"/>
  <c r="AR14" i="10" s="1"/>
  <c r="AR6" i="10"/>
  <c r="AR7" i="10"/>
  <c r="R16" i="10"/>
  <c r="R1" i="10" s="1"/>
  <c r="AE4" i="9"/>
  <c r="AF5" i="9"/>
  <c r="AF6" i="9"/>
  <c r="AF4" i="9"/>
  <c r="V7" i="9"/>
  <c r="V1" i="9" s="1"/>
  <c r="U7" i="9"/>
  <c r="U1" i="9" s="1"/>
  <c r="AD7" i="9"/>
  <c r="AD1" i="9" s="1"/>
  <c r="AR6" i="9"/>
  <c r="R7" i="9"/>
  <c r="R1" i="9" s="1"/>
  <c r="V5" i="8"/>
  <c r="AF7" i="8"/>
  <c r="AE8" i="8"/>
  <c r="AR8" i="8" s="1"/>
  <c r="V12" i="8"/>
  <c r="AE12" i="8" s="1"/>
  <c r="AR12" i="8" s="1"/>
  <c r="AF11" i="8"/>
  <c r="AE13" i="8"/>
  <c r="AR13" i="8" s="1"/>
  <c r="AE15" i="8"/>
  <c r="AR15" i="8" s="1"/>
  <c r="AE16" i="8"/>
  <c r="AR16" i="8" s="1"/>
  <c r="AE18" i="8"/>
  <c r="AE10" i="8"/>
  <c r="AF12" i="8"/>
  <c r="AF14" i="8"/>
  <c r="V17" i="8"/>
  <c r="AF9" i="8"/>
  <c r="AF4" i="8"/>
  <c r="AE5" i="8"/>
  <c r="AR5" i="8" s="1"/>
  <c r="AF5" i="8"/>
  <c r="AF6" i="8"/>
  <c r="AE6" i="8"/>
  <c r="AR4" i="8"/>
  <c r="AE17" i="8"/>
  <c r="AR17" i="8" s="1"/>
  <c r="AF17" i="8"/>
  <c r="U19" i="8"/>
  <c r="U1" i="8" s="1"/>
  <c r="AE7" i="8"/>
  <c r="AR7" i="8" s="1"/>
  <c r="AE9" i="8"/>
  <c r="AR10" i="8"/>
  <c r="N12" i="8"/>
  <c r="N19" i="8" s="1"/>
  <c r="N1" i="8" s="1"/>
  <c r="AF18" i="8"/>
  <c r="AR9" i="8"/>
  <c r="AQ19" i="8"/>
  <c r="AQ1" i="8" s="1"/>
  <c r="AE14" i="8"/>
  <c r="AR14" i="8" s="1"/>
  <c r="AF16" i="8"/>
  <c r="AE11" i="8"/>
  <c r="AR11" i="8" s="1"/>
  <c r="AF13" i="8"/>
  <c r="AF15" i="8"/>
  <c r="AD19" i="8"/>
  <c r="AD1" i="8" s="1"/>
  <c r="AR18" i="8"/>
  <c r="Q19" i="8"/>
  <c r="Q1" i="8" s="1"/>
  <c r="AE10" i="6"/>
  <c r="AE6" i="6"/>
  <c r="AR6" i="6" s="1"/>
  <c r="AE5" i="6"/>
  <c r="AR5" i="6" s="1"/>
  <c r="AE7" i="6"/>
  <c r="AR7" i="6" s="1"/>
  <c r="AR10" i="6"/>
  <c r="AF6" i="6"/>
  <c r="AR11" i="6"/>
  <c r="AD12" i="6"/>
  <c r="AD1" i="6" s="1"/>
  <c r="AE8" i="6"/>
  <c r="AR8" i="6" s="1"/>
  <c r="AE4" i="6"/>
  <c r="S12" i="6"/>
  <c r="S1" i="6" s="1"/>
  <c r="U9" i="6"/>
  <c r="V9" i="6" s="1"/>
  <c r="AE9" i="6" s="1"/>
  <c r="AR9" i="6" s="1"/>
  <c r="AQ12" i="6"/>
  <c r="AQ1" i="6" s="1"/>
  <c r="AF11" i="6"/>
  <c r="N12" i="6"/>
  <c r="N1" i="6" s="1"/>
  <c r="AF4" i="6"/>
  <c r="AF10" i="6"/>
  <c r="R12" i="6"/>
  <c r="R1" i="6" s="1"/>
  <c r="AR4" i="5"/>
  <c r="S5" i="5"/>
  <c r="S1" i="5" s="1"/>
  <c r="AD5" i="5"/>
  <c r="AD1" i="5" s="1"/>
  <c r="U5" i="5"/>
  <c r="U1" i="5" s="1"/>
  <c r="AQ5" i="5"/>
  <c r="AQ1" i="5" s="1"/>
  <c r="V5" i="5"/>
  <c r="V1" i="5" s="1"/>
  <c r="AF4" i="5"/>
  <c r="N5" i="5"/>
  <c r="N1" i="5" s="1"/>
  <c r="Q5" i="5"/>
  <c r="Q1" i="5" s="1"/>
  <c r="AF9" i="10" l="1"/>
  <c r="AE18" i="10"/>
  <c r="AF15" i="10"/>
  <c r="AE16" i="10"/>
  <c r="AE1" i="10" s="1"/>
  <c r="AR16" i="10"/>
  <c r="U16" i="10"/>
  <c r="U1" i="10" s="1"/>
  <c r="V16" i="10"/>
  <c r="V1" i="10" s="1"/>
  <c r="AE19" i="8"/>
  <c r="AE1" i="8" s="1"/>
  <c r="V19" i="8"/>
  <c r="V1" i="8" s="1"/>
  <c r="AR6" i="8"/>
  <c r="AR19" i="8"/>
  <c r="U12" i="6"/>
  <c r="U1" i="6" s="1"/>
  <c r="V12" i="6"/>
  <c r="V1" i="6" s="1"/>
  <c r="AE12" i="6"/>
  <c r="AE1" i="6" s="1"/>
  <c r="AR4" i="6"/>
  <c r="AR12" i="6" s="1"/>
  <c r="AF9" i="6"/>
  <c r="AR5" i="5"/>
  <c r="AE5" i="5"/>
  <c r="AE1" i="5" s="1"/>
  <c r="AR7" i="9" l="1"/>
  <c r="AE7" i="9"/>
  <c r="AE1" i="9" s="1"/>
  <c r="AQ42" i="4" l="1"/>
  <c r="AQ41" i="4"/>
  <c r="AQ40" i="4"/>
  <c r="AQ39" i="4"/>
  <c r="AQ38" i="4"/>
  <c r="AQ37" i="4"/>
  <c r="AQ36" i="4"/>
  <c r="AQ35" i="4"/>
  <c r="AQ34" i="4"/>
  <c r="AQ33" i="4"/>
  <c r="AQ32" i="4"/>
  <c r="AQ31" i="4"/>
  <c r="AQ30" i="4"/>
  <c r="AQ29" i="4"/>
  <c r="AQ28" i="4"/>
  <c r="AQ27" i="4"/>
  <c r="AQ26" i="4"/>
  <c r="AQ25" i="4"/>
  <c r="AQ24" i="4"/>
  <c r="AQ23" i="4"/>
  <c r="AQ22" i="4"/>
  <c r="AQ21" i="4"/>
  <c r="AQ20" i="4"/>
  <c r="AQ19" i="4"/>
  <c r="AQ18" i="4"/>
  <c r="AQ17" i="4"/>
  <c r="AQ16" i="4"/>
  <c r="AQ15" i="4"/>
  <c r="AQ14" i="4"/>
  <c r="AQ13" i="4"/>
  <c r="AQ12" i="4"/>
  <c r="AQ11" i="4"/>
  <c r="AQ10" i="4"/>
  <c r="AQ9" i="4"/>
  <c r="AQ8" i="4"/>
  <c r="AQ7" i="4"/>
  <c r="AQ6" i="4"/>
  <c r="AQ4" i="4"/>
  <c r="AQ5" i="4"/>
  <c r="AP43" i="4"/>
  <c r="AO43" i="4"/>
  <c r="AN43" i="4"/>
  <c r="AM43" i="4"/>
  <c r="AL43" i="4"/>
  <c r="AK43" i="4"/>
  <c r="AJ43" i="4"/>
  <c r="AI43" i="4"/>
  <c r="AH43" i="4"/>
  <c r="N17" i="4"/>
  <c r="U17" i="4"/>
  <c r="V17" i="4" s="1"/>
  <c r="AD17" i="4"/>
  <c r="AI3" i="4"/>
  <c r="AJ3" i="4" s="1"/>
  <c r="AK3" i="4" s="1"/>
  <c r="AL3" i="4" s="1"/>
  <c r="AM3" i="4" s="1"/>
  <c r="AN3" i="4" s="1"/>
  <c r="AO3" i="4" s="1"/>
  <c r="P43" i="4"/>
  <c r="P1" i="4" s="1"/>
  <c r="T43" i="4"/>
  <c r="T1" i="4" s="1"/>
  <c r="W43" i="4"/>
  <c r="W1" i="4" s="1"/>
  <c r="X43" i="4"/>
  <c r="X1" i="4" s="1"/>
  <c r="Y43" i="4"/>
  <c r="Y1" i="4" s="1"/>
  <c r="Z43" i="4"/>
  <c r="Z1" i="4" s="1"/>
  <c r="AA43" i="4"/>
  <c r="AA1" i="4" s="1"/>
  <c r="AB43" i="4"/>
  <c r="AB1" i="4" s="1"/>
  <c r="AC43" i="4"/>
  <c r="AC1" i="4" s="1"/>
  <c r="AD42" i="4"/>
  <c r="R42" i="4"/>
  <c r="U42" i="4" s="1"/>
  <c r="M42" i="4"/>
  <c r="N42" i="4" s="1"/>
  <c r="U41" i="4"/>
  <c r="V41" i="4" s="1"/>
  <c r="N41" i="4"/>
  <c r="U40" i="4"/>
  <c r="V40" i="4" s="1"/>
  <c r="N40" i="4"/>
  <c r="U39" i="4"/>
  <c r="V39" i="4" s="1"/>
  <c r="N39" i="4"/>
  <c r="U38" i="4"/>
  <c r="V38" i="4" s="1"/>
  <c r="N38" i="4"/>
  <c r="AD37" i="4"/>
  <c r="U37" i="4"/>
  <c r="V37" i="4" s="1"/>
  <c r="N37" i="4"/>
  <c r="AD36" i="4"/>
  <c r="Q36" i="4"/>
  <c r="U36" i="4" s="1"/>
  <c r="M36" i="4"/>
  <c r="K36" i="4"/>
  <c r="AD35" i="4"/>
  <c r="U35" i="4"/>
  <c r="V35" i="4" s="1"/>
  <c r="N35" i="4"/>
  <c r="U34" i="4"/>
  <c r="V34" i="4" s="1"/>
  <c r="N34" i="4"/>
  <c r="U33" i="4"/>
  <c r="V33" i="4" s="1"/>
  <c r="N33" i="4"/>
  <c r="AD32" i="4"/>
  <c r="U32" i="4"/>
  <c r="V32" i="4" s="1"/>
  <c r="N32" i="4"/>
  <c r="AD31" i="4"/>
  <c r="U31" i="4"/>
  <c r="V31" i="4" s="1"/>
  <c r="N31" i="4"/>
  <c r="AD30" i="4"/>
  <c r="U30" i="4"/>
  <c r="V30" i="4" s="1"/>
  <c r="N30" i="4"/>
  <c r="U29" i="4"/>
  <c r="V29" i="4" s="1"/>
  <c r="N29" i="4"/>
  <c r="AD28" i="4"/>
  <c r="U28" i="4"/>
  <c r="V28" i="4" s="1"/>
  <c r="N28" i="4"/>
  <c r="AD27" i="4"/>
  <c r="U27" i="4"/>
  <c r="V27" i="4" s="1"/>
  <c r="N27" i="4"/>
  <c r="AD26" i="4"/>
  <c r="U26" i="4"/>
  <c r="L26" i="4"/>
  <c r="N26" i="4" s="1"/>
  <c r="AD25" i="4"/>
  <c r="Q25" i="4"/>
  <c r="U25" i="4" s="1"/>
  <c r="V25" i="4" s="1"/>
  <c r="N25" i="4"/>
  <c r="AD24" i="4"/>
  <c r="U24" i="4"/>
  <c r="V24" i="4" s="1"/>
  <c r="N24" i="4"/>
  <c r="AD23" i="4"/>
  <c r="U23" i="4"/>
  <c r="V23" i="4" s="1"/>
  <c r="N23" i="4"/>
  <c r="AD22" i="4"/>
  <c r="U22" i="4"/>
  <c r="V22" i="4" s="1"/>
  <c r="N22" i="4"/>
  <c r="AD21" i="4"/>
  <c r="U21" i="4"/>
  <c r="K21" i="4"/>
  <c r="AD20" i="4"/>
  <c r="U20" i="4"/>
  <c r="V20" i="4" s="1"/>
  <c r="N20" i="4"/>
  <c r="AD19" i="4"/>
  <c r="U19" i="4"/>
  <c r="V19" i="4" s="1"/>
  <c r="N19" i="4"/>
  <c r="U18" i="4"/>
  <c r="V18" i="4" s="1"/>
  <c r="N18" i="4"/>
  <c r="AD16" i="4"/>
  <c r="U16" i="4"/>
  <c r="V16" i="4" s="1"/>
  <c r="N16" i="4"/>
  <c r="AD15" i="4"/>
  <c r="U15" i="4"/>
  <c r="V15" i="4" s="1"/>
  <c r="N15" i="4"/>
  <c r="AD14" i="4"/>
  <c r="U14" i="4"/>
  <c r="K14" i="4"/>
  <c r="AD13" i="4"/>
  <c r="U13" i="4"/>
  <c r="V13" i="4" s="1"/>
  <c r="N13" i="4"/>
  <c r="AD12" i="4"/>
  <c r="U12" i="4"/>
  <c r="V12" i="4" s="1"/>
  <c r="N12" i="4"/>
  <c r="AD11" i="4"/>
  <c r="U11" i="4"/>
  <c r="V11" i="4" s="1"/>
  <c r="N11" i="4"/>
  <c r="AD10" i="4"/>
  <c r="S10" i="4"/>
  <c r="N10" i="4"/>
  <c r="AD9" i="4"/>
  <c r="U9" i="4"/>
  <c r="V9" i="4" s="1"/>
  <c r="N9" i="4"/>
  <c r="AD8" i="4"/>
  <c r="U8" i="4"/>
  <c r="V8" i="4" s="1"/>
  <c r="N8" i="4"/>
  <c r="AD7" i="4"/>
  <c r="U7" i="4"/>
  <c r="V7" i="4" s="1"/>
  <c r="N7" i="4"/>
  <c r="U6" i="4"/>
  <c r="V6" i="4" s="1"/>
  <c r="N6" i="4"/>
  <c r="AD4" i="4"/>
  <c r="U4" i="4"/>
  <c r="V4" i="4" s="1"/>
  <c r="N4" i="4"/>
  <c r="AD5" i="4"/>
  <c r="U5" i="4"/>
  <c r="V5" i="4" s="1"/>
  <c r="N5" i="4"/>
  <c r="M2" i="4"/>
  <c r="AE25" i="4" l="1"/>
  <c r="AR25" i="4" s="1"/>
  <c r="AE5" i="4"/>
  <c r="AE17" i="4"/>
  <c r="AR17" i="4" s="1"/>
  <c r="AE7" i="4"/>
  <c r="AR7" i="4" s="1"/>
  <c r="AE11" i="4"/>
  <c r="AR11" i="4" s="1"/>
  <c r="AF17" i="4"/>
  <c r="AE16" i="4"/>
  <c r="AR16" i="4" s="1"/>
  <c r="AE24" i="4"/>
  <c r="AR24" i="4" s="1"/>
  <c r="AE30" i="4"/>
  <c r="AR30" i="4" s="1"/>
  <c r="AQ43" i="4"/>
  <c r="AQ1" i="4" s="1"/>
  <c r="O43" i="4"/>
  <c r="O1" i="4" s="1"/>
  <c r="U10" i="4"/>
  <c r="V10" i="4" s="1"/>
  <c r="S43" i="4"/>
  <c r="S1" i="4" s="1"/>
  <c r="Q43" i="4"/>
  <c r="Q1" i="4" s="1"/>
  <c r="R43" i="4"/>
  <c r="R1" i="4" s="1"/>
  <c r="AE27" i="4"/>
  <c r="AR27" i="4" s="1"/>
  <c r="AE13" i="4"/>
  <c r="AR13" i="4" s="1"/>
  <c r="AE28" i="4"/>
  <c r="AR28" i="4" s="1"/>
  <c r="AE20" i="4"/>
  <c r="AR20" i="4" s="1"/>
  <c r="AD6" i="4"/>
  <c r="V42" i="4"/>
  <c r="AD39" i="4"/>
  <c r="AE19" i="4"/>
  <c r="AR19" i="4" s="1"/>
  <c r="AE23" i="4"/>
  <c r="AR23" i="4" s="1"/>
  <c r="AD40" i="4"/>
  <c r="AE31" i="4"/>
  <c r="AR31" i="4" s="1"/>
  <c r="AE15" i="4"/>
  <c r="AR15" i="4" s="1"/>
  <c r="AE32" i="4"/>
  <c r="AR32" i="4" s="1"/>
  <c r="AE12" i="4"/>
  <c r="AR12" i="4" s="1"/>
  <c r="AE9" i="4"/>
  <c r="AR9" i="4" s="1"/>
  <c r="AD34" i="4"/>
  <c r="AD29" i="4"/>
  <c r="AE22" i="4"/>
  <c r="AR22" i="4" s="1"/>
  <c r="AD18" i="4"/>
  <c r="AD41" i="4"/>
  <c r="AE35" i="4"/>
  <c r="AR35" i="4" s="1"/>
  <c r="AE8" i="4"/>
  <c r="AR8" i="4" s="1"/>
  <c r="V26" i="4"/>
  <c r="AE4" i="4"/>
  <c r="AR4" i="4" s="1"/>
  <c r="AC2" i="4"/>
  <c r="AD33" i="4"/>
  <c r="AE37" i="4"/>
  <c r="AR37" i="4" s="1"/>
  <c r="AF22" i="4"/>
  <c r="AF16" i="4"/>
  <c r="AF7" i="4"/>
  <c r="AF5" i="4"/>
  <c r="N36" i="4"/>
  <c r="V36" i="4"/>
  <c r="V21" i="4"/>
  <c r="N21" i="4"/>
  <c r="V14" i="4"/>
  <c r="N14" i="4"/>
  <c r="AF25" i="4"/>
  <c r="AF24" i="4"/>
  <c r="AF23" i="4"/>
  <c r="AF19" i="4"/>
  <c r="AF13" i="4"/>
  <c r="AF35" i="4"/>
  <c r="AF32" i="4"/>
  <c r="AF31" i="4"/>
  <c r="AF30" i="4"/>
  <c r="AF28" i="4"/>
  <c r="AF27" i="4"/>
  <c r="AF20" i="4"/>
  <c r="AF15" i="4"/>
  <c r="AF12" i="4"/>
  <c r="AF11" i="4"/>
  <c r="AF9" i="4"/>
  <c r="AF8" i="4"/>
  <c r="AF4" i="4"/>
  <c r="AR5" i="4" l="1"/>
  <c r="N43" i="4"/>
  <c r="N1" i="4" s="1"/>
  <c r="AE10" i="4"/>
  <c r="AR10" i="4" s="1"/>
  <c r="AF10" i="4"/>
  <c r="U43" i="4"/>
  <c r="U1" i="4" s="1"/>
  <c r="AE42" i="4"/>
  <c r="AR42" i="4" s="1"/>
  <c r="AF42" i="4"/>
  <c r="AE39" i="4"/>
  <c r="AR39" i="4" s="1"/>
  <c r="AF39" i="4"/>
  <c r="AF40" i="4"/>
  <c r="AE40" i="4"/>
  <c r="AR40" i="4" s="1"/>
  <c r="AE6" i="4"/>
  <c r="AR6" i="4" s="1"/>
  <c r="AF6" i="4"/>
  <c r="AE18" i="4"/>
  <c r="AR18" i="4" s="1"/>
  <c r="AF18" i="4"/>
  <c r="AE41" i="4"/>
  <c r="AR41" i="4" s="1"/>
  <c r="AF41" i="4"/>
  <c r="AE34" i="4"/>
  <c r="AR34" i="4" s="1"/>
  <c r="AF34" i="4"/>
  <c r="AE29" i="4"/>
  <c r="AR29" i="4" s="1"/>
  <c r="AF29" i="4"/>
  <c r="AE26" i="4"/>
  <c r="AR26" i="4" s="1"/>
  <c r="AF26" i="4"/>
  <c r="AE33" i="4"/>
  <c r="AR33" i="4" s="1"/>
  <c r="AF33" i="4"/>
  <c r="AF36" i="4"/>
  <c r="AE36" i="4"/>
  <c r="AR36" i="4" s="1"/>
  <c r="AF21" i="4"/>
  <c r="AE21" i="4"/>
  <c r="AR21" i="4" s="1"/>
  <c r="AF14" i="4"/>
  <c r="AE14" i="4"/>
  <c r="AR14" i="4" s="1"/>
  <c r="L2" i="4"/>
  <c r="K2" i="4"/>
  <c r="V43" i="4" l="1"/>
  <c r="V1" i="4" s="1"/>
  <c r="K3" i="2" l="1"/>
  <c r="AD38" i="4" l="1"/>
  <c r="AD43" i="4" l="1"/>
  <c r="AD1" i="4" s="1"/>
  <c r="AF38" i="4"/>
  <c r="AE38" i="4"/>
  <c r="AE43" i="4" l="1"/>
  <c r="AE1" i="4" s="1"/>
  <c r="AR38" i="4"/>
  <c r="AR43" i="4" s="1"/>
  <c r="AA2" i="4"/>
  <c r="Z2" i="4"/>
  <c r="W2" i="4"/>
  <c r="AB2" i="4"/>
  <c r="Y2" i="4"/>
  <c r="X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tc={45A746E6-CB43-45BD-A91F-178F83C2AB9E}</author>
    <author>tc={D253FF46-2DB2-4899-BB31-B8FA680C089D}</author>
    <author>tc={321C5D20-60E7-46B0-8323-2BEDF000C7D8}</author>
    <author>tc={338CF11B-152E-4BE2-A800-554492FB3C24}</author>
    <author>tc={9F246431-D02A-4AB4-88A1-2E6558D4F0B9}</author>
    <author>tc={AD5EE015-C5D4-4E18-93B9-5A09CE0DC374}</author>
    <author>tc={C2B4E004-DDA9-4DB8-A55F-34B0327CEB0B}</author>
    <author>tc={3458751C-314F-4956-B644-0A64F76440D4}</author>
    <author>tc={C3061126-A045-4C4A-AE1F-F61FA445404C}</author>
    <author>tc={45F13041-86A9-41A9-8866-99CB2BEF8775}</author>
    <author>tc={279F5A38-0B7B-48E3-9FB1-E0834F7D0340}</author>
    <author>tc={CD88AA33-7FFC-410A-BEE1-3E83A19045ED}</author>
    <author>tc={F7644641-EB53-4DEE-8420-57BB243F05E9}</author>
    <author>tc={DCEE1AD0-874F-4EFE-A218-825D8CE94878}</author>
    <author>tc={E4B7AF16-3ED3-4017-8ADC-75986F85056B}</author>
    <author>tc={7219DED1-DD42-4E82-9A78-22E88BD301AE}</author>
    <author>tc={60A88AAD-C6E2-407F-BEE2-85BD886466AA}</author>
    <author>tc={601A6167-2FEE-4B30-BFCE-34BF7073EAF4}</author>
    <author>tc={A55118C0-78A1-455F-90D4-6EEE116E4C5D}</author>
    <author>tc={A46A4A74-1BDA-4497-BFE9-291AAC2C7D84}</author>
    <author>tc={FA912A73-607A-4DCC-857F-60E10E18AFA6}</author>
    <author>tc={C29F3185-D1B2-471F-A1F4-3D9D29E9348A}</author>
  </authors>
  <commentList>
    <comment ref="R5" authorId="0" shapeId="0" xr:uid="{45A746E6-CB43-45BD-A91F-178F83C2AB9E}">
      <text>
        <t>[Threaded comment]
Your version of Excel allows you to read this threaded comment; however, any edits to it will get removed if the file is opened in a newer version of Excel. Learn more: https://go.microsoft.com/fwlink/?linkid=870924
Comment:
    Partial DEOB $13,339.40 WP#26FRF32762</t>
      </text>
    </comment>
    <comment ref="I7" authorId="1" shapeId="0" xr:uid="{D253FF46-2DB2-4899-BB31-B8FA680C089D}">
      <text>
        <t>[Threaded comment]
Your version of Excel allows you to read this threaded comment; however, any edits to it will get removed if the file is opened in a newer version of Excel. Learn more: https://go.microsoft.com/fwlink/?linkid=870924
Comment:
    Changed from 3266 to 3278 in FY24</t>
      </text>
    </comment>
    <comment ref="Q7" authorId="2" shapeId="0" xr:uid="{321C5D20-60E7-46B0-8323-2BEDF000C7D8}">
      <text>
        <t xml:space="preserve">[Threaded comment]
Your version of Excel allows you to read this threaded comment; however, any edits to it will get removed if the file is opened in a newer version of Excel. Learn more: https://go.microsoft.com/fwlink/?linkid=870924
Comment:
    Deob WP of WP24FRF32784
</t>
      </text>
    </comment>
    <comment ref="I8" authorId="3" shapeId="0" xr:uid="{338CF11B-152E-4BE2-A800-554492FB3C24}">
      <text>
        <t>[Threaded comment]
Your version of Excel allows you to read this threaded comment; however, any edits to it will get removed if the file is opened in a newer version of Excel. Learn more: https://go.microsoft.com/fwlink/?linkid=870924
Comment:
    Danette M. Kluever:
Moved from BA3266 to BA3278 in SFY24</t>
      </text>
    </comment>
    <comment ref="Q8" authorId="4" shapeId="0" xr:uid="{9F246431-D02A-4AB4-88A1-2E6558D4F0B9}">
      <text>
        <t xml:space="preserve">[Threaded comment]
Your version of Excel allows you to read this threaded comment; however, any edits to it will get removed if the file is opened in a newer version of Excel. Learn more: https://go.microsoft.com/fwlink/?linkid=870924
Comment:
    Deob WP 24FRF32787
</t>
      </text>
    </comment>
    <comment ref="I9" authorId="5" shapeId="0" xr:uid="{AD5EE015-C5D4-4E18-93B9-5A09CE0DC374}">
      <text>
        <t>[Threaded comment]
Your version of Excel allows you to read this threaded comment; however, any edits to it will get removed if the file is opened in a newer version of Excel. Learn more: https://go.microsoft.com/fwlink/?linkid=870924
Comment:
    Danette M. Kluever:
Moved from BA3266 to BA3278 in SFY24</t>
      </text>
    </comment>
    <comment ref="Q9" authorId="6" shapeId="0" xr:uid="{C2B4E004-DDA9-4DB8-A55F-34B0327CEB0B}">
      <text>
        <t xml:space="preserve">[Threaded comment]
Your version of Excel allows you to read this threaded comment; however, any edits to it will get removed if the file is opened in a newer version of Excel. Learn more: https://go.microsoft.com/fwlink/?linkid=870924
Comment:
    DeOb WP24FRF32786
</t>
      </text>
    </comment>
    <comment ref="S10" authorId="7" shapeId="0" xr:uid="{3458751C-314F-4956-B644-0A64F76440D4}">
      <text>
        <t>[Threaded comment]
Your version of Excel allows you to read this threaded comment; however, any edits to it will get removed if the file is opened in a newer version of Excel. Learn more: https://go.microsoft.com/fwlink/?linkid=870924
Comment:
    WP26FRF32793 Partial DEOB $1,098,249.81 FEB IFC
Reply:
    WP26FRF32794 Partial DEOB/Redirect $600,000 to 24CMH9A01 Campus for Hope APR IFC</t>
      </text>
    </comment>
    <comment ref="I11" authorId="8" shapeId="0" xr:uid="{C3061126-A045-4C4A-AE1F-F61FA445404C}">
      <text>
        <t>[Threaded comment]
Your version of Excel allows you to read this threaded comment; however, any edits to it will get removed if the file is opened in a newer version of Excel. Learn more: https://go.microsoft.com/fwlink/?linkid=870924
Comment:
    Change to BA3278 eff FY24, no Exp in FY23 to BA3266</t>
      </text>
    </comment>
    <comment ref="I12" authorId="9" shapeId="0" xr:uid="{45F13041-86A9-41A9-8866-99CB2BEF8775}">
      <text>
        <t>[Threaded comment]
Your version of Excel allows you to read this threaded comment; however, any edits to it will get removed if the file is opened in a newer version of Excel. Learn more: https://go.microsoft.com/fwlink/?linkid=870924
Comment:
    Change to BA3278 eff FY24, no Exp in FY23 to BA3266</t>
      </text>
    </comment>
    <comment ref="Q12" authorId="10" shapeId="0" xr:uid="{279F5A38-0B7B-48E3-9FB1-E0834F7D0340}">
      <text>
        <t xml:space="preserve">[Threaded comment]
Your version of Excel allows you to read this threaded comment; however, any edits to it will get removed if the file is opened in a newer version of Excel. Learn more: https://go.microsoft.com/fwlink/?linkid=870924
Comment:
    SFY 24 De-Ob #24FRF32785
</t>
      </text>
    </comment>
    <comment ref="P16" authorId="11" shapeId="0" xr:uid="{CD88AA33-7FFC-410A-BEE1-3E83A19045ED}">
      <text>
        <t>[Threaded comment]
Your version of Excel allows you to read this threaded comment; however, any edits to it will get removed if the file is opened in a newer version of Excel. Learn more: https://go.microsoft.com/fwlink/?linkid=870924
Comment:
    Pending Grant Realignment WP for $2,896,697 reduction in authority (DK)
Reply:
    $5,000,000 - transferred to DCFS under WP# 23FR314521</t>
      </text>
    </comment>
    <comment ref="Q16" authorId="12" shapeId="0" xr:uid="{F7644641-EB53-4DEE-8420-57BB243F05E9}">
      <text>
        <t>[Threaded comment]
Your version of Excel allows you to read this threaded comment; however, any edits to it will get removed if the file is opened in a newer version of Excel. Learn more: https://go.microsoft.com/fwlink/?linkid=870924
Comment:
    Agency Submitted DeOb for $2,896,697 that was signed off.  Agency sent email to the COVID19 mailbox Requesting to Retract DeOB.  Dan told Amy @ ARPA Admin Mtng 3.14.24 and she is checking with Jim Wells. 
Reply:
    $2.8 retracted but agency is giving up 1.9 per J. Wells. WP 24FR316504 (-903,303) combined with an L01 of 3,945,507 reduces the award by the 1.9 million.
Reply:
    WP #24FR316504 $903,303</t>
      </text>
    </comment>
    <comment ref="S20" authorId="13" shapeId="0" xr:uid="{DCEE1AD0-874F-4EFE-A218-825D8CE94878}">
      <text>
        <t>[Threaded comment]
Your version of Excel allows you to read this threaded comment; however, any edits to it will get removed if the file is opened in a newer version of Excel. Learn more: https://go.microsoft.com/fwlink/?linkid=870924
Comment:
    Partial Deob $288,337.50 Transfer to Jail Based 24JBMHP01</t>
      </text>
    </comment>
    <comment ref="O25" authorId="14" shapeId="0" xr:uid="{E4B7AF16-3ED3-4017-8ADC-75986F85056B}">
      <text>
        <t>[Threaded comment]
Your version of Excel allows you to read this threaded comment; however, any edits to it will get removed if the file is opened in a newer version of Excel. Learn more: https://go.microsoft.com/fwlink/?linkid=870924
Comment:
    Deob WP 24FRF36453</t>
      </text>
    </comment>
    <comment ref="Q25" authorId="15" shapeId="0" xr:uid="{7219DED1-DD42-4E82-9A78-22E88BD301AE}">
      <text>
        <t>[Threaded comment]
Your version of Excel allows you to read this threaded comment; however, any edits to it will get removed if the file is opened in a newer version of Excel. Learn more: https://go.microsoft.com/fwlink/?linkid=870924
Comment:
    De-Obligation #24FR132776 $744,094 - June 2024 IFC 
Reply:
    Agency De-Ob WP# 24FRF36454</t>
      </text>
    </comment>
    <comment ref="L26" authorId="16" shapeId="0" xr:uid="{60A88AAD-C6E2-407F-BEE2-85BD886466AA}">
      <text>
        <t>[Threaded comment]
Your version of Excel allows you to read this threaded comment; however, any edits to it will get removed if the file is opened in a newer version of Excel. Learn more: https://go.microsoft.com/fwlink/?linkid=870924
Comment:
    Supplemental#1=$2,939,148 &amp; Supplemental #2 =$221,588.96 Supplemental #3= $530,360.14
Reply:
    Supplemental #2+#3 = $751,950.10 26FRF31613 FEB-IFC</t>
      </text>
    </comment>
    <comment ref="Q27" authorId="17" shapeId="0" xr:uid="{601A6167-2FEE-4B30-BFCE-34BF7073EAF4}">
      <text>
        <t>[Threaded comment]
Your version of Excel allows you to read this threaded comment; however, any edits to it will get removed if the file is opened in a newer version of Excel. Learn more: https://go.microsoft.com/fwlink/?linkid=870924
Comment:
    WP#24FR132777 De-Obligation $2,070,848 June 2024 IFC 
Reply:
    Agency De-Ob WP#24FRF31618 - Revised to $593,974</t>
      </text>
    </comment>
    <comment ref="U27" authorId="18" shapeId="0" xr:uid="{A55118C0-78A1-455F-90D4-6EEE116E4C5D}">
      <text>
        <t xml:space="preserve">[Threaded comment]
Your version of Excel allows you to read this threaded comment; however, any edits to it will get removed if the file is opened in a newer version of Excel. Learn more: https://go.microsoft.com/fwlink/?linkid=870924
Comment:
    WP#24FRF31618 June 2024 IFC </t>
      </text>
    </comment>
    <comment ref="M38" authorId="19" shapeId="0" xr:uid="{A46A4A74-1BDA-4497-BFE9-291AAC2C7D84}">
      <text>
        <t>[Threaded comment]
Your version of Excel allows you to read this threaded comment; however, any edits to it will get removed if the file is opened in a newer version of Excel. Learn more: https://go.microsoft.com/fwlink/?linkid=870924
Comment:
    L01</t>
      </text>
    </comment>
    <comment ref="P38" authorId="20" shapeId="0" xr:uid="{FA912A73-607A-4DCC-857F-60E10E18AFA6}">
      <text>
        <t xml:space="preserve">[Threaded comment]
Your version of Excel allows you to read this threaded comment; however, any edits to it will get removed if the file is opened in a newer version of Excel. Learn more: https://go.microsoft.com/fwlink/?linkid=870924
Comment:
    FY23 not spent and not balanced foward
</t>
      </text>
    </comment>
    <comment ref="S39" authorId="21" shapeId="0" xr:uid="{C29F3185-D1B2-471F-A1F4-3D9D29E9348A}">
      <text>
        <t>[Threaded comment]
Your version of Excel allows you to read this threaded comment; however, any edits to it will get removed if the file is opened in a newer version of Excel. Learn more: https://go.microsoft.com/fwlink/?linkid=870924
Comment:
    Deob $200,000 FEB26 IFC</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tc={28EF8F67-1B3C-4A51-82A1-EEF91F6D8729}</author>
    <author>tc={80403DA9-2646-4E59-917F-BEDFB3FDB693}</author>
    <author>tc={1E1B31AE-6619-438C-AC66-BB6AA95F1FEE}</author>
    <author>tc={4DEE419D-17B6-40E2-972F-480400313D18}</author>
    <author>tc={A7AA26AD-12F1-41ED-B934-491FB876F5C7}</author>
    <author>tc={FC4F05AE-9D80-47AF-9D27-8EC7FA30870B}</author>
    <author>tc={9DB033EA-39DF-420B-A799-AA9F3F41B445}</author>
    <author>tc={58D7B941-033E-4369-B390-CCD4A6FB9282}</author>
    <author>tc={A78D8690-EC10-4096-87B8-C8506DA2D7B2}</author>
    <author>tc={8E62C59A-B79C-46B4-B5AA-DC6D946EF7B1}</author>
    <author>tc={CE0BA90A-972B-4556-A998-8B514C9A6B97}</author>
  </authors>
  <commentList>
    <comment ref="R4" authorId="0" shapeId="0" xr:uid="{28EF8F67-1B3C-4A51-82A1-EEF91F6D8729}">
      <text>
        <t>[Threaded comment]
Your version of Excel allows you to read this threaded comment; however, any edits to it will get removed if the file is opened in a newer version of Excel. Learn more: https://go.microsoft.com/fwlink/?linkid=870924
Comment:
    Partial DEOB $13,339.40 WP#26FRF32762</t>
      </text>
    </comment>
    <comment ref="I6" authorId="1" shapeId="0" xr:uid="{80403DA9-2646-4E59-917F-BEDFB3FDB693}">
      <text>
        <t>[Threaded comment]
Your version of Excel allows you to read this threaded comment; however, any edits to it will get removed if the file is opened in a newer version of Excel. Learn more: https://go.microsoft.com/fwlink/?linkid=870924
Comment:
    Changed from 3266 to 3278 in FY24</t>
      </text>
    </comment>
    <comment ref="Q6" authorId="2" shapeId="0" xr:uid="{1E1B31AE-6619-438C-AC66-BB6AA95F1FEE}">
      <text>
        <t xml:space="preserve">[Threaded comment]
Your version of Excel allows you to read this threaded comment; however, any edits to it will get removed if the file is opened in a newer version of Excel. Learn more: https://go.microsoft.com/fwlink/?linkid=870924
Comment:
    Deob WP of WP24FRF32784
</t>
      </text>
    </comment>
    <comment ref="I7" authorId="3" shapeId="0" xr:uid="{4DEE419D-17B6-40E2-972F-480400313D18}">
      <text>
        <t>[Threaded comment]
Your version of Excel allows you to read this threaded comment; however, any edits to it will get removed if the file is opened in a newer version of Excel. Learn more: https://go.microsoft.com/fwlink/?linkid=870924
Comment:
    Danette M. Kluever:
Moved from BA3266 to BA3278 in SFY24</t>
      </text>
    </comment>
    <comment ref="Q7" authorId="4" shapeId="0" xr:uid="{A7AA26AD-12F1-41ED-B934-491FB876F5C7}">
      <text>
        <t xml:space="preserve">[Threaded comment]
Your version of Excel allows you to read this threaded comment; however, any edits to it will get removed if the file is opened in a newer version of Excel. Learn more: https://go.microsoft.com/fwlink/?linkid=870924
Comment:
    Deob WP 24FRF32787
</t>
      </text>
    </comment>
    <comment ref="I8" authorId="5" shapeId="0" xr:uid="{FC4F05AE-9D80-47AF-9D27-8EC7FA30870B}">
      <text>
        <t>[Threaded comment]
Your version of Excel allows you to read this threaded comment; however, any edits to it will get removed if the file is opened in a newer version of Excel. Learn more: https://go.microsoft.com/fwlink/?linkid=870924
Comment:
    Danette M. Kluever:
Moved from BA3266 to BA3278 in SFY24</t>
      </text>
    </comment>
    <comment ref="Q8" authorId="6" shapeId="0" xr:uid="{9DB033EA-39DF-420B-A799-AA9F3F41B445}">
      <text>
        <t xml:space="preserve">[Threaded comment]
Your version of Excel allows you to read this threaded comment; however, any edits to it will get removed if the file is opened in a newer version of Excel. Learn more: https://go.microsoft.com/fwlink/?linkid=870924
Comment:
    DeOb WP24FRF32786
</t>
      </text>
    </comment>
    <comment ref="S9" authorId="7" shapeId="0" xr:uid="{58D7B941-033E-4369-B390-CCD4A6FB9282}">
      <text>
        <t>[Threaded comment]
Your version of Excel allows you to read this threaded comment; however, any edits to it will get removed if the file is opened in a newer version of Excel. Learn more: https://go.microsoft.com/fwlink/?linkid=870924
Comment:
    WP26FRF32793 Partial DEOB $1,098,249.81 FEB IFC
Reply:
    WP26FRF32794 Partial DEOB/Redirect $600,000 to 24CMH9A01 Campus for Hope APR IFC</t>
      </text>
    </comment>
    <comment ref="I10" authorId="8" shapeId="0" xr:uid="{A78D8690-EC10-4096-87B8-C8506DA2D7B2}">
      <text>
        <t>[Threaded comment]
Your version of Excel allows you to read this threaded comment; however, any edits to it will get removed if the file is opened in a newer version of Excel. Learn more: https://go.microsoft.com/fwlink/?linkid=870924
Comment:
    Change to BA3278 eff FY24, no Exp in FY23 to BA3266</t>
      </text>
    </comment>
    <comment ref="I11" authorId="9" shapeId="0" xr:uid="{8E62C59A-B79C-46B4-B5AA-DC6D946EF7B1}">
      <text>
        <t>[Threaded comment]
Your version of Excel allows you to read this threaded comment; however, any edits to it will get removed if the file is opened in a newer version of Excel. Learn more: https://go.microsoft.com/fwlink/?linkid=870924
Comment:
    Change to BA3278 eff FY24, no Exp in FY23 to BA3266</t>
      </text>
    </comment>
    <comment ref="Q11" authorId="10" shapeId="0" xr:uid="{CE0BA90A-972B-4556-A998-8B514C9A6B97}">
      <text>
        <t xml:space="preserve">[Threaded comment]
Your version of Excel allows you to read this threaded comment; however, any edits to it will get removed if the file is opened in a newer version of Excel. Learn more: https://go.microsoft.com/fwlink/?linkid=870924
Comment:
    SFY 24 De-Ob #24FRF32785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tc={B6C706A6-0E99-4BAB-A39B-5A2E7E5F867A}</author>
    <author>tc={F32EC043-1D68-4475-BBE6-2DE63D4FABF6}</author>
    <author>tc={5D09709F-72C7-468B-9E70-395B3365AD42}</author>
  </authors>
  <commentList>
    <comment ref="M11" authorId="0" shapeId="0" xr:uid="{B6C706A6-0E99-4BAB-A39B-5A2E7E5F867A}">
      <text>
        <t>[Threaded comment]
Your version of Excel allows you to read this threaded comment; however, any edits to it will get removed if the file is opened in a newer version of Excel. Learn more: https://go.microsoft.com/fwlink/?linkid=870924
Comment:
    L01</t>
      </text>
    </comment>
    <comment ref="P11" authorId="1" shapeId="0" xr:uid="{F32EC043-1D68-4475-BBE6-2DE63D4FABF6}">
      <text>
        <t xml:space="preserve">[Threaded comment]
Your version of Excel allows you to read this threaded comment; however, any edits to it will get removed if the file is opened in a newer version of Excel. Learn more: https://go.microsoft.com/fwlink/?linkid=870924
Comment:
    FY23 not spent and not balanced foward
</t>
      </text>
    </comment>
    <comment ref="S12" authorId="2" shapeId="0" xr:uid="{5D09709F-72C7-468B-9E70-395B3365AD42}">
      <text>
        <t>[Threaded comment]
Your version of Excel allows you to read this threaded comment; however, any edits to it will get removed if the file is opened in a newer version of Excel. Learn more: https://go.microsoft.com/fwlink/?linkid=870924
Comment:
    Deob $200,000 FEB26 IFC</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tc={D36C4251-C0B6-4D03-8D8A-E04AA48A2660}</author>
    <author>tc={5536B21E-7F5B-4CDC-AB18-D6E9BA6D0E07}</author>
    <author>tc={978E0249-114A-45DD-96F2-7491FB0A6D2C}</author>
    <author>tc={67CF34CC-64A3-4D11-A394-12771B331680}</author>
    <author>tc={8A2544CC-7F3F-4D1F-A89E-F862354CD3A8}</author>
    <author>tc={E6441286-4FB9-4623-B37D-3F83FCDBED0F}</author>
    <author>tc={80FF4E0A-1B10-4BF1-8EB7-7996212A3AB8}</author>
    <author>tc={9A22F77E-0695-4AC4-971F-24AE0BC49E78}</author>
  </authors>
  <commentList>
    <comment ref="P7" authorId="0" shapeId="0" xr:uid="{D36C4251-C0B6-4D03-8D8A-E04AA48A2660}">
      <text>
        <t>[Threaded comment]
Your version of Excel allows you to read this threaded comment; however, any edits to it will get removed if the file is opened in a newer version of Excel. Learn more: https://go.microsoft.com/fwlink/?linkid=870924
Comment:
    Pending Grant Realignment WP for $2,896,697 reduction in authority (DK)
Reply:
    $5,000,000 - transferred to DCFS under WP# 23FR314521</t>
      </text>
    </comment>
    <comment ref="Q7" authorId="1" shapeId="0" xr:uid="{5536B21E-7F5B-4CDC-AB18-D6E9BA6D0E07}">
      <text>
        <t>[Threaded comment]
Your version of Excel allows you to read this threaded comment; however, any edits to it will get removed if the file is opened in a newer version of Excel. Learn more: https://go.microsoft.com/fwlink/?linkid=870924
Comment:
    Agency Submitted DeOb for $2,896,697 that was signed off.  Agency sent email to the COVID19 mailbox Requesting to Retract DeOB.  Dan told Amy @ ARPA Admin Mtng 3.14.24 and she is checking with Jim Wells. 
Reply:
    $2.8 retracted but agency is giving up 1.9 per J. Wells. WP 24FR316504 (-903,303) combined with an L01 of 3,945,507 reduces the award by the 1.9 million.
Reply:
    WP #24FR316504 $903,303</t>
      </text>
    </comment>
    <comment ref="S11" authorId="2" shapeId="0" xr:uid="{978E0249-114A-45DD-96F2-7491FB0A6D2C}">
      <text>
        <t>[Threaded comment]
Your version of Excel allows you to read this threaded comment; however, any edits to it will get removed if the file is opened in a newer version of Excel. Learn more: https://go.microsoft.com/fwlink/?linkid=870924
Comment:
    Partial Deob $288,337.50 Transfer to Jail Based 24JBMHP01</t>
      </text>
    </comment>
    <comment ref="O16" authorId="3" shapeId="0" xr:uid="{67CF34CC-64A3-4D11-A394-12771B331680}">
      <text>
        <t>[Threaded comment]
Your version of Excel allows you to read this threaded comment; however, any edits to it will get removed if the file is opened in a newer version of Excel. Learn more: https://go.microsoft.com/fwlink/?linkid=870924
Comment:
    Deob WP 24FRF36453</t>
      </text>
    </comment>
    <comment ref="Q16" authorId="4" shapeId="0" xr:uid="{8A2544CC-7F3F-4D1F-A89E-F862354CD3A8}">
      <text>
        <t>[Threaded comment]
Your version of Excel allows you to read this threaded comment; however, any edits to it will get removed if the file is opened in a newer version of Excel. Learn more: https://go.microsoft.com/fwlink/?linkid=870924
Comment:
    De-Obligation #24FR132776 $744,094 - June 2024 IFC 
Reply:
    Agency De-Ob WP# 24FRF36454</t>
      </text>
    </comment>
    <comment ref="L17" authorId="5" shapeId="0" xr:uid="{E6441286-4FB9-4623-B37D-3F83FCDBED0F}">
      <text>
        <t>[Threaded comment]
Your version of Excel allows you to read this threaded comment; however, any edits to it will get removed if the file is opened in a newer version of Excel. Learn more: https://go.microsoft.com/fwlink/?linkid=870924
Comment:
    Supplemental#1=$2,939,148 &amp; Supplemental #2 =$221,588.96 Supplemental #3= $530,360.14
Reply:
    Supplemental #2+#3 = $751,950.10 26FRF31613 FEB-IFC</t>
      </text>
    </comment>
    <comment ref="Q18" authorId="6" shapeId="0" xr:uid="{80FF4E0A-1B10-4BF1-8EB7-7996212A3AB8}">
      <text>
        <t>[Threaded comment]
Your version of Excel allows you to read this threaded comment; however, any edits to it will get removed if the file is opened in a newer version of Excel. Learn more: https://go.microsoft.com/fwlink/?linkid=870924
Comment:
    WP#24FR132777 De-Obligation $2,070,848 June 2024 IFC 
Reply:
    Agency De-Ob WP#24FRF31618 - Revised to $593,974</t>
      </text>
    </comment>
    <comment ref="U18" authorId="7" shapeId="0" xr:uid="{9A22F77E-0695-4AC4-971F-24AE0BC49E78}">
      <text>
        <t xml:space="preserve">[Threaded comment]
Your version of Excel allows you to read this threaded comment; however, any edits to it will get removed if the file is opened in a newer version of Excel. Learn more: https://go.microsoft.com/fwlink/?linkid=870924
Comment:
    WP#24FRF31618 June 2024 IFC </t>
      </text>
    </comment>
  </commentList>
</comments>
</file>

<file path=xl/sharedStrings.xml><?xml version="1.0" encoding="utf-8"?>
<sst xmlns="http://schemas.openxmlformats.org/spreadsheetml/2006/main" count="884" uniqueCount="209">
  <si>
    <t>The ARPA team provides updates to the Interim Finance Committee (IFC) at every meeting.  Subrecipient Spend Plan updates are included in the report.  Please provide updates by the deadline below:</t>
  </si>
  <si>
    <t>IFC:</t>
  </si>
  <si>
    <t xml:space="preserve">DEADLINE: </t>
  </si>
  <si>
    <t xml:space="preserve"> All funds must be spent by:</t>
  </si>
  <si>
    <t xml:space="preserve">COUNTDOWN (from IFC):  </t>
  </si>
  <si>
    <t xml:space="preserve">Spend Plan updates due for JUNE IFC: </t>
  </si>
  <si>
    <t xml:space="preserve">Spend Plans are due by COB:  </t>
  </si>
  <si>
    <t>ARPA SUBRECIPIENT - SPEND PLAN UPDATE INSTRUCTIONS:</t>
  </si>
  <si>
    <t xml:space="preserve">Complete Spend Plan based on applicable months remaining for each project period, allocating the UNSPENT BALANCE REMAINING.  </t>
  </si>
  <si>
    <r>
      <t>The Total Reimbursements (Column AE) is based on RFR submittals received into the COVID Mailbox through 5</t>
    </r>
    <r>
      <rPr>
        <u/>
        <sz val="12"/>
        <color theme="1"/>
        <rFont val="Tahoma"/>
        <family val="2"/>
      </rPr>
      <t>/26/26</t>
    </r>
    <r>
      <rPr>
        <sz val="12"/>
        <color theme="1"/>
        <rFont val="Tahoma"/>
        <family val="2"/>
      </rPr>
      <t xml:space="preserve">.  </t>
    </r>
  </si>
  <si>
    <r>
      <t xml:space="preserve">Column AG is for any pending RFRs that have </t>
    </r>
    <r>
      <rPr>
        <u/>
        <sz val="12"/>
        <color theme="1"/>
        <rFont val="Tahoma"/>
        <family val="2"/>
      </rPr>
      <t>NOT</t>
    </r>
    <r>
      <rPr>
        <sz val="12"/>
        <color theme="1"/>
        <rFont val="Tahoma"/>
        <family val="2"/>
      </rPr>
      <t xml:space="preserve"> been submitted to ARPA through APRIL 2026.</t>
    </r>
  </si>
  <si>
    <t xml:space="preserve">Columns AH through AP are for projections from MAY 2026 through the Project End Date. </t>
  </si>
  <si>
    <t>Column AR is the check totals, which cannot exceed the unspent balance.</t>
  </si>
  <si>
    <t>Complete the Status and Comments columns.</t>
  </si>
  <si>
    <t>Any projects with "zero" spend RFR's submitted for the last 2 months or more will require explaination and be prepared to DEOBLIGATE the unspent balance to allow GFO reallocating funding immediately.</t>
  </si>
  <si>
    <t>The expectation is to complete monthly amounts based on the project expenditure timelines for reimbursements using spending trends, spending cycles and/or knowledge of ramping up expenditures.</t>
  </si>
  <si>
    <t xml:space="preserve">Any amounts identified as spend plan savings/deobligations must be accompanied by a deobligating ACR with the accompanying work program due JUNE 25, 2026.  This allows GFO to reallocate funding immediately.  </t>
  </si>
  <si>
    <t xml:space="preserve">Now is the time to Identify any delays and/or concerns about spending the balance remaining by your Project End Date. </t>
  </si>
  <si>
    <t>Plan for JUNE 2026 IFC to be available for questions regarding your projects.</t>
  </si>
  <si>
    <t xml:space="preserve">Send your responses to covid19@finance.nv.gov </t>
  </si>
  <si>
    <r>
      <t>For any questions, please reach out to Lesa Galloway,</t>
    </r>
    <r>
      <rPr>
        <u/>
        <sz val="14"/>
        <color theme="4"/>
        <rFont val="Calibri"/>
        <family val="2"/>
        <scheme val="minor"/>
      </rPr>
      <t xml:space="preserve"> lgalloway@finance.nv.gov </t>
    </r>
    <r>
      <rPr>
        <sz val="14"/>
        <color theme="4"/>
        <rFont val="Calibri"/>
        <family val="2"/>
        <scheme val="minor"/>
      </rPr>
      <t>.</t>
    </r>
  </si>
  <si>
    <t>RFR'S RECEIVED THROUGH 5/21/2026</t>
  </si>
  <si>
    <t>SPEND PLAN UPDATES - FOR THE REMAINDER OF THE PROJECT PERIOD</t>
  </si>
  <si>
    <t>Agency Number</t>
  </si>
  <si>
    <t>Agency</t>
  </si>
  <si>
    <t>Allocation 
Number</t>
  </si>
  <si>
    <t>Recipient Name</t>
  </si>
  <si>
    <t>Sub Recipient</t>
  </si>
  <si>
    <t>Project Description</t>
  </si>
  <si>
    <t>Start Date</t>
  </si>
  <si>
    <t>End Date</t>
  </si>
  <si>
    <t>BA#</t>
  </si>
  <si>
    <t>CAT(s)</t>
  </si>
  <si>
    <t>Original NOA
Amount</t>
  </si>
  <si>
    <t>Supplemental
 Allocations
NOA
Amount</t>
  </si>
  <si>
    <t>Amendment(s)</t>
  </si>
  <si>
    <t>TOTAL REVISED ALLOCATION
Original NOA + Supplemental + Amendments</t>
  </si>
  <si>
    <t>SFY 22 Deobligations</t>
  </si>
  <si>
    <t>SFY 23 Deobligations</t>
  </si>
  <si>
    <t>SFY 24 Deobligations</t>
  </si>
  <si>
    <t>SFY 25 Deobligations</t>
  </si>
  <si>
    <t>SFY 26 Deobligations</t>
  </si>
  <si>
    <t>SFY 27 Deobligations</t>
  </si>
  <si>
    <t>Total Deobligations 
(CALCULATED COLUMN)</t>
  </si>
  <si>
    <t>TOTAL
ALLOCATION
(CALCULATED COLUMN)</t>
  </si>
  <si>
    <t>SFY21
Amount 
Spent</t>
  </si>
  <si>
    <t>SFY22
Amount 
Spent</t>
  </si>
  <si>
    <t>SFY23
Amount 
Spent</t>
  </si>
  <si>
    <t>SFY24
Amount 
Spent</t>
  </si>
  <si>
    <t>SFY25
Amount 
Spent</t>
  </si>
  <si>
    <t>SFY26
Amount 
Spent</t>
  </si>
  <si>
    <t>SFY27
Amount 
Spent</t>
  </si>
  <si>
    <t>TOTAL REIMBURSEMENTS PAID PER RFR'S RECEIVED BY SUBRECIPIENTS</t>
  </si>
  <si>
    <t>TOTAL UNSPENT BALANCE
 GFO 
PAYMENT
LEDGERS</t>
  </si>
  <si>
    <t>% Spent</t>
  </si>
  <si>
    <t>PENDING 
RFR'S SUBMITTED AFTER 5/26/2026 FOR JULY-APRIL</t>
  </si>
  <si>
    <t>FINAL 
CLOSE-OUT</t>
  </si>
  <si>
    <t>SPEND PLAN
TOTAL</t>
  </si>
  <si>
    <t>CK TOTALS
(SPEND PLAN TOTAL CANNOT EXCEED UNSPENT BALANCE)</t>
  </si>
  <si>
    <t xml:space="preserve">STATUS:
*ON-TRACK
*DELAYS (explain)
*SAVINGS IDENTIFIED
** NO RESPONSE </t>
  </si>
  <si>
    <t>SUB-RECIPIENT COMMENTS:</t>
  </si>
  <si>
    <t>400</t>
  </si>
  <si>
    <t>DHHS</t>
  </si>
  <si>
    <t>23EIPRC01</t>
  </si>
  <si>
    <t>DHHS- ADSD</t>
  </si>
  <si>
    <t>N/A</t>
  </si>
  <si>
    <t>EARLY INTERVENTION PERSONNEL CENTER</t>
  </si>
  <si>
    <t>23NVTRI01</t>
  </si>
  <si>
    <t>DHHS- DO</t>
  </si>
  <si>
    <t>NEVADA TRANSPLANT INSTITUTE</t>
  </si>
  <si>
    <t>402</t>
  </si>
  <si>
    <t>ADSD</t>
  </si>
  <si>
    <t>23CMSMI01</t>
  </si>
  <si>
    <t>DHHS-ADSD</t>
  </si>
  <si>
    <t>Case Management System Modernization/Integration</t>
  </si>
  <si>
    <t>23FCWPL01</t>
  </si>
  <si>
    <t xml:space="preserve">Personal Care Workforce Impact			</t>
  </si>
  <si>
    <t>23HCAPD01</t>
  </si>
  <si>
    <t>Home/Chore Assistance for people with Disabilities</t>
  </si>
  <si>
    <t>23INHSV01</t>
  </si>
  <si>
    <t>In home Services, home modifications, assistive tech</t>
  </si>
  <si>
    <t>23RFPCN01</t>
  </si>
  <si>
    <t>RFP Consultant for Intensive Behavioral Support Homes</t>
  </si>
  <si>
    <t>23RSBEX01</t>
  </si>
  <si>
    <t>Residential Setting Beds Expansion</t>
  </si>
  <si>
    <t>23SVNEX01</t>
  </si>
  <si>
    <t xml:space="preserve"> Service Navigation Expansion</t>
  </si>
  <si>
    <t>406</t>
  </si>
  <si>
    <t>DPBH</t>
  </si>
  <si>
    <t>22BHCGM01</t>
  </si>
  <si>
    <t>DHHS-DPBH</t>
  </si>
  <si>
    <t>CONTRACT MANAGEMENT SYSTEM</t>
  </si>
  <si>
    <t>22BHSTF01b-c</t>
  </si>
  <si>
    <t>DPBH STAFFING for ARPA Reporting-SFY24 &amp; SFY25</t>
  </si>
  <si>
    <t>01 /
18</t>
  </si>
  <si>
    <t>23CFAEP01</t>
  </si>
  <si>
    <t>EPIDEMIOLOGIST</t>
  </si>
  <si>
    <t>23EMGCS01</t>
  </si>
  <si>
    <t>DHHS-DPBH-CRISIS RESPONSE</t>
  </si>
  <si>
    <t>EMERGENCY CRISIS CARE (Transfer 5 million to DCFS)</t>
  </si>
  <si>
    <t>23GIDTR01</t>
  </si>
  <si>
    <t>GENOMIC INFECTIOUS DISEASE TRACKING</t>
  </si>
  <si>
    <t xml:space="preserve">DPBH </t>
  </si>
  <si>
    <t>23HCWSS02</t>
  </si>
  <si>
    <t>Health Care Workforce Scholarships (Transferred from DHCFP)</t>
  </si>
  <si>
    <t>23IBCLC02</t>
  </si>
  <si>
    <t xml:space="preserve">International Board Certified Lactation Consultants </t>
  </si>
  <si>
    <t>23LCCMS01</t>
  </si>
  <si>
    <t>Lakes Crossing Camera System</t>
  </si>
  <si>
    <t>23LRHA01</t>
  </si>
  <si>
    <t>Local &amp; Regional Authorities Washoe, Carson, Churchill &amp; SNHD (Merged)</t>
  </si>
  <si>
    <t>23NBSTR01</t>
  </si>
  <si>
    <t>UNR NSPHL Newborn</t>
  </si>
  <si>
    <t>23RCCLV01</t>
  </si>
  <si>
    <t>RECUPERATIVE CARE CENTER EXPANSION</t>
  </si>
  <si>
    <t>23RHSCC01</t>
  </si>
  <si>
    <t>Reproductive Health Services</t>
  </si>
  <si>
    <t>01, 15</t>
  </si>
  <si>
    <t>24FPROS01</t>
  </si>
  <si>
    <t>Forensic Professional Services - Lake Crossing</t>
  </si>
  <si>
    <t>24JBMHP01</t>
  </si>
  <si>
    <t>Forensic Jail Based Mental Health Programs (SNAMHS/NNAMHS)</t>
  </si>
  <si>
    <t>24SNFLT01</t>
  </si>
  <si>
    <t>Skilled Nursing Facility - Forensic Long-Term Care</t>
  </si>
  <si>
    <t>407</t>
  </si>
  <si>
    <t>DWSS</t>
  </si>
  <si>
    <t>23ACNVM01</t>
  </si>
  <si>
    <t>DHHS-DSS</t>
  </si>
  <si>
    <t>ACCESS NEVADA MODERNIZATION 
No Wrong Door Single Web Portal</t>
  </si>
  <si>
    <t>DSS</t>
  </si>
  <si>
    <t>23CHDIF01</t>
  </si>
  <si>
    <t>CHILD CARE INFRASTRUCTURE</t>
  </si>
  <si>
    <t>23NOMAD01</t>
  </si>
  <si>
    <t>NOMADS MODERNIZATION</t>
  </si>
  <si>
    <t>409</t>
  </si>
  <si>
    <t>DCFS</t>
  </si>
  <si>
    <t>22DSWHD01</t>
  </si>
  <si>
    <t>DHHS-DCFS-SNCAS</t>
  </si>
  <si>
    <t>DESERT WILLOW HARDENING
CIP#: 22-A012 Ceiling Replacement</t>
  </si>
  <si>
    <t>Construction has resumed, expect large invoices to be submitted soon.</t>
  </si>
  <si>
    <t>22DSWHD01a</t>
  </si>
  <si>
    <t>DESERT WILLOW HARDENING
 CIP Project#: 23-A005 Anti-Ligature &amp; Unit Hardening</t>
  </si>
  <si>
    <t>23CLKCW01</t>
  </si>
  <si>
    <t>DHHS-DCFS</t>
  </si>
  <si>
    <t>CLARK COUNTY CHILD WELFARE</t>
  </si>
  <si>
    <t>23EMGCS02</t>
  </si>
  <si>
    <t>EMERGENCY FUNDING FOR CHILD AND FAMILY SERVICES</t>
  </si>
  <si>
    <t>23FTFPS01</t>
  </si>
  <si>
    <t>FAMILY TO PEER SUPPORT</t>
  </si>
  <si>
    <t>3145
3146-FY24</t>
  </si>
  <si>
    <t>23IFIHS01</t>
  </si>
  <si>
    <t xml:space="preserve"> INTENSIVE FAMILY IN HOME SERVICES</t>
  </si>
  <si>
    <t>01
41</t>
  </si>
  <si>
    <t>23LVSRC01</t>
  </si>
  <si>
    <t>VEGAS STRONG RESILIENCY CENTER</t>
  </si>
  <si>
    <t>23NWFEO01</t>
  </si>
  <si>
    <t>Nursing Workforce Educational Opportunity</t>
  </si>
  <si>
    <t>23SUPST3145</t>
  </si>
  <si>
    <t>ARPA OVERSIGHT (8 FTE Support Positions)</t>
  </si>
  <si>
    <t>01, 
43</t>
  </si>
  <si>
    <t>23SUPST3146</t>
  </si>
  <si>
    <t>CHILDRENS BEHAVIORAL HEALTH AUTHORITY (8 FTE Support Positions)</t>
  </si>
  <si>
    <t>23UNITY01</t>
  </si>
  <si>
    <t>UNITY Replacement</t>
  </si>
  <si>
    <t>23WINIC01</t>
  </si>
  <si>
    <t>Wraparound Authority/ intensive Care Coordination</t>
  </si>
  <si>
    <t>3145-FY23, 3146-FY24</t>
  </si>
  <si>
    <t>01, 40</t>
  </si>
  <si>
    <t xml:space="preserve">Renown is currently moving forward scheduling transplant #6 and they are awaiting CMS for the accrediting survey.
NDN Donor Care Unit at 1050 E. Sahara Ave., has experienced a minor delay in consturction but is expected to be completed in 30 days. </t>
  </si>
  <si>
    <t>On Track</t>
  </si>
  <si>
    <t> </t>
  </si>
  <si>
    <t>A request  to extend the performance period to 12/30/26 has been submitted, to ensure that future approved Agate Change Requests will be able to be completed and paid for through 12/30/26. Funds were allocated to the Service Enhancement deliverable to pay for approved Change Requests.</t>
  </si>
  <si>
    <t>Project performance period extended for continued work and support of completing project tasks, Performing final reconcilliation, and submitting all final reporting. Project on-track to fully expend all funds.  Projections based on current expenditure trends.</t>
  </si>
  <si>
    <t xml:space="preserve"> Kristen Clements-Nolle: PhD (3), MS HAB (6), MPH Epi (3), Grad Special MPH Epi (2), Epidemiology and Biostatistics Certificate (2), Grad Special Epi and Biostatistics Certificate (1), Online Public Health Data Management and Analysis Certificate (7), Undergraduate Public Health (7), Graduate Assistant MS HAB (3), Graduate Assistant MPH Epi (7), Graduate Assistant Online MPH (1). Brian Labus: All program staff, and all three member of cohort 2 are currently in the program. Two of three people from cohort 1 completed the 12 months, one left a month early to take a full time position. Projections based on previous expenditures and coordiation with subrecipient.  Expected to fully ewxpend funds.</t>
  </si>
  <si>
    <t>This funding stream did receive a approved extension to end on June 30, 2026. Our Seven Hills provider was able to expend a majority of their award hoever it did end at the December. We are currently getting a new award for the remaining balance $13,476 to Desert Parkway to expend quickly before June 2026.</t>
  </si>
  <si>
    <t xml:space="preserve">Project Complete. Closeout activities in process.  </t>
  </si>
  <si>
    <t>Healthy Communities Coalition 31 scholarship recipients total award. 100% spent down. UNR Larson Institute 26 scholarship recipients CHW, 15 English Doula, 17 Spanish Doula scholarship recipients, 20 scholarship applicants accepted training scholarships. UNR Integration 6 fellowships. Nevada Primary Care 11 Scholarships PCP’s, 1 Preceptor 1 MA learners, 9 EKG learners. High Sierra AHEC 15 scholarships for Spring 2026 semester. 5 Ambassadors, 1 Scholar. UNR CASAT Supervision: 13 new licensed PRSS-S; 1 new licensed ADG Supervisors. UNLV BeHere 23 scholarship recipients. UNR Resilience, Praveen: 9 Public Health Certificates, 9 Full time online MPH program. Dr. Sharma 154 (Undergraduate: 28; Master's: 64; Doctoral: 62); In addition, all total GA-ships have also been awarded: 15(Master's=9; Doctoral=6);  Project is On Track and expected to fully spend down by end of project period.</t>
  </si>
  <si>
    <t>UNLV Pipeline Southern Nevada latch clinic has officially started with adding two extra days that began on May 1st. One at the Healthy Living Institute, and adding another day at UNLV Pediatrics. The pathway 3 mentees have also attended a breastfeeding workshop hosted by the NV Breastfeeding Coalition to increase their knowledge and skill set. Has also been approached with the opportunity to work with the city of Henderson to have our mentees teach breastfeeding education this summer.  Project is On Track and expected to fully spend down by end of project period.</t>
  </si>
  <si>
    <t>Savings Identified</t>
  </si>
  <si>
    <t>The 23LCCMS01 project has been completed. A request to deobligate the remaining balance of $43,257.03 and redirect the savings to 24FPROS01 was submitted on 4/27/2026.</t>
  </si>
  <si>
    <t>Washoe: NNPH is on time and under budget - The ribbon cutting ceremony occurred April 23. An additional SOW has been submitted for review and approval.
Carson: CCHHS On track for project completion in November 2026.
Churchill: The project is 95% to completion. On target to complete project as expected.</t>
  </si>
  <si>
    <t>Spend down is on track; 3 of the 5 remaining disorders will be added to the panel after the building certificate of occupancy is granted in October 2026 as equipment can't be set up until they are in the new building. NSPHL states they will completely spend down by end of performance period.</t>
  </si>
  <si>
    <t>Project is ongoing and spending has increased rapidly, with $9,080,236.26 in expenditures as of June, 2026.  Expected to fully spend down by end of project period. Projections based previously expended funds and coordination with subrecipient.</t>
  </si>
  <si>
    <t xml:space="preserve">All three subgrantees have submitted spend plans for the entirety of the project period; spend plans submitted are based by SFY, hence the projections have been broken out monthly based on subrecipients projections. Spend plans ascertain they will fully expend their award amounts by the end of the project period, December 31, 2026. </t>
  </si>
  <si>
    <t>Project is on track and has become destination for de-obligated funds to support ability to spend. A request to deobligate the remaining balance of $43,257.03 from 23LCCMS01 and redirect the savings to 24FPROS01 was submitted on 4/27/2026. A request is to transfer $479,379 from 24SNFLT01 to 24FPROS01. The associated work programs (#27FRF31611 and #27FRF36452) are in process. Additional allocations to spend plan will be included in projections when funds become available for project.</t>
  </si>
  <si>
    <t>Project is on track to fully spend down by the end of the performance period.  Continues to be an option for re-allocated funds due to continued ability to spend additional funds.</t>
  </si>
  <si>
    <t>24SNFLT01 savings are due to competitive rates with current community providers. A request is to transfer $479,379 from
24SNFLT01 to 24FPROS01. The associated work programs (#27FRF31611 and #27FRF36452) are in process.</t>
  </si>
  <si>
    <t>All subrecipients are on track for spending.</t>
  </si>
  <si>
    <t>Project is in process with completion expected in October 2026, monitoring of the project continues. Extension request will be submitted to the ARPA team to extend subaward to October 31, 2026</t>
  </si>
  <si>
    <t xml:space="preserve">Project Complete. Closeout activities in progress once May RFR is processed.  </t>
  </si>
  <si>
    <t>Projections based on the adjusted monthly flat fee of the Magellan contract of $190,000 a month from April 2026 to November 2026 and $169,087.54 a month for December 2026. Distribution and allocation of the remaining funds is based on the remaining balance in each project. The June projection includes the expenses from April through June 2026.</t>
  </si>
  <si>
    <t xml:space="preserve">A request  to extend the performance period to 8/31/26 will be submitted to the ARPA team so Clark County can fully expend their award. Projections based on remaining funds through August 2026. </t>
  </si>
  <si>
    <t>on Track</t>
  </si>
  <si>
    <t xml:space="preserve">Projections are based on scholarship support for APRN students by semester for the Summer 2026 semester. </t>
  </si>
  <si>
    <t>This project oversees ARPA projects to provide support in the areas of fiscal, reporting, subrecipient monitoring, grants management, contract management and human resources to comply with federal and state regulations. The amounts projected each month are based on current spending trends for 1 temp contractor</t>
  </si>
  <si>
    <t xml:space="preserve">New contract to provide design, development, and implementation services for a new comprehensive child welfare information system was approved at May BOE. Kickoff meeting scheduled for 06/8/26. Projections are based on CCWIS budget for design and implementation, project management and independent valuation. </t>
  </si>
  <si>
    <t>On-Track</t>
  </si>
  <si>
    <t>Projections are based on monthly deliverables and remaining billing to address M&amp;O production defect resolution through 12/31/2026</t>
  </si>
  <si>
    <t>Projections are based on monthly contractual/MSA deliverables, Phase III and M&amp;O production defect resolution through 12/31/2026</t>
  </si>
  <si>
    <t>ck</t>
  </si>
  <si>
    <t>Temporary contractor thorugh Manpower, Business Productivity Suite, and educational materials. The contractor will be compensated using the remaining project funds until those funds are fully exhausted.</t>
  </si>
  <si>
    <t>Note that the end date in this file was incorrect.  NOA says 12/31/2026. Projection methodology:
- Guidesoft Inc MSA Contractors  based on monthly average through May - June 2026, with and increase in Julty for the start of hte year and reduced hours for Aug -Nov. 2026. 
- O365 based on monthly average costs.
- Insight Public Sector based on contract deliverables.
- Wellsky based on contract deliverables.</t>
  </si>
  <si>
    <t>Projection methodology: Projection methodology:
- Public Health Supportive based on project plan.
- KPS3 based on project deliverable schedule.</t>
  </si>
  <si>
    <t>Projection methodology:
- Acumen Fiscal Agent based on monthly projections for self-directed service support (Monthly average used for May -July. 2026)
- Washoe County based on projections for direct services,  reflects the monthly average used for May -July. 2026)
- Jewish Family Service Agency based on projections for monthly direct service and administrative cost (amount varies by month)</t>
  </si>
  <si>
    <t xml:space="preserve">Working with subrecipient/provider to fix RFR errors before payment. </t>
  </si>
  <si>
    <t>On-track</t>
  </si>
  <si>
    <t>We are expecting expenses due to participation incentives going out</t>
  </si>
  <si>
    <t>Subaward de-obligations</t>
  </si>
  <si>
    <t>Projection methodology:
- Money Management International based on monthly contract amount.
- Jewish Family Service Agency, Lyon County, and Access to Healthcare Network based on remaining balance and award, split across remaining months.
- KPS3 based on contract deliverables (Start date for additional deliverable in May. 2026, continuing through Dec. 2026.)
- Nevada Public Health Foundation based on contract deliverables (Higher amount in May and Jun. 2026, other months in project period at $10k.)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</si>
</sst>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mm/dd/yyyy"/>
    <numFmt numFmtId="166" formatCode="[$-409]mmmm\ d\,\ yyyy;@"/>
  </numFmts>
  <fonts count="32"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b/>
      <sz val="9"/>
      <color theme="1"/>
      <name val="Calibri"/>
      <family val="2"/>
      <scheme val="minor"/>
    </font>
    <font>
      <b/>
      <sz val="9.5"/>
      <name val="Calibri"/>
      <family val="2"/>
      <scheme val="minor"/>
    </font>
    <font>
      <b/>
      <i/>
      <sz val="9.5"/>
      <name val="Calibri"/>
      <family val="2"/>
      <scheme val="minor"/>
    </font>
    <font>
      <sz val="9.5"/>
      <name val="Calibri"/>
      <family val="2"/>
      <scheme val="minor"/>
    </font>
    <font>
      <b/>
      <sz val="10"/>
      <color rgb="FF0070C0"/>
      <name val="Calibri"/>
      <family val="2"/>
      <scheme val="minor"/>
    </font>
    <font>
      <b/>
      <sz val="12"/>
      <color theme="1"/>
      <name val="Calibri"/>
      <family val="2"/>
      <scheme val="minor"/>
    </font>
    <font>
      <b/>
      <u/>
      <sz val="12"/>
      <color theme="1"/>
      <name val="Calibri"/>
      <family val="2"/>
      <scheme val="minor"/>
    </font>
    <font>
      <b/>
      <sz val="14"/>
      <color theme="1"/>
      <name val="Calibri"/>
      <family val="2"/>
      <scheme val="minor"/>
    </font>
    <font>
      <b/>
      <u/>
      <sz val="14"/>
      <color theme="1"/>
      <name val="Calibri"/>
      <family val="2"/>
      <scheme val="minor"/>
    </font>
    <font>
      <b/>
      <sz val="16"/>
      <color theme="1"/>
      <name val="Calibri"/>
      <family val="2"/>
      <scheme val="minor"/>
    </font>
    <font>
      <sz val="12"/>
      <color theme="1"/>
      <name val="Calibri"/>
      <family val="2"/>
      <scheme val="minor"/>
    </font>
    <font>
      <u/>
      <sz val="12"/>
      <color theme="1"/>
      <name val="Calibri"/>
      <family val="2"/>
      <scheme val="minor"/>
    </font>
    <font>
      <sz val="12"/>
      <color theme="1"/>
      <name val="Tahoma"/>
      <family val="2"/>
    </font>
    <font>
      <u/>
      <sz val="12"/>
      <color theme="1"/>
      <name val="Tahoma"/>
      <family val="2"/>
    </font>
    <font>
      <b/>
      <sz val="12"/>
      <color theme="1"/>
      <name val="Tahoma"/>
      <family val="2"/>
    </font>
    <font>
      <b/>
      <sz val="12"/>
      <color rgb="FFFF0000"/>
      <name val="Tahoma"/>
      <family val="2"/>
    </font>
    <font>
      <u/>
      <sz val="12"/>
      <color theme="10"/>
      <name val="Calibri"/>
      <family val="2"/>
      <scheme val="minor"/>
    </font>
    <font>
      <sz val="14"/>
      <color theme="4"/>
      <name val="Calibri"/>
      <family val="2"/>
      <scheme val="minor"/>
    </font>
    <font>
      <u/>
      <sz val="14"/>
      <color theme="4"/>
      <name val="Calibri"/>
      <family val="2"/>
      <scheme val="minor"/>
    </font>
    <font>
      <u/>
      <sz val="9.5"/>
      <name val="Calibri"/>
      <family val="2"/>
      <scheme val="minor"/>
    </font>
    <font>
      <sz val="9.5"/>
      <color theme="1"/>
      <name val="Calibri"/>
      <family val="2"/>
      <scheme val="minor"/>
    </font>
    <font>
      <u/>
      <sz val="9.5"/>
      <color theme="10"/>
      <name val="Calibri"/>
      <family val="2"/>
      <scheme val="minor"/>
    </font>
    <font>
      <u/>
      <sz val="10"/>
      <name val="Calibri"/>
      <family val="2"/>
      <scheme val="minor"/>
    </font>
    <font>
      <b/>
      <u/>
      <sz val="12"/>
      <color rgb="FF0066FF"/>
      <name val="Tahoma"/>
      <family val="2"/>
    </font>
    <font>
      <sz val="11"/>
      <color rgb="FF000000"/>
      <name val="Calibri"/>
      <family val="2"/>
    </font>
    <font>
      <sz val="11"/>
      <color rgb="FF000000"/>
      <name val="Calibri"/>
      <family val="2"/>
    </font>
    <font>
      <i/>
      <sz val="11"/>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8"/>
        <bgColor indexed="64"/>
      </patternFill>
    </fill>
    <fill>
      <patternFill patternType="solid">
        <fgColor rgb="FFFFFF99"/>
        <bgColor indexed="64"/>
      </patternFill>
    </fill>
    <fill>
      <patternFill patternType="solid">
        <fgColor rgb="FFFF4343"/>
        <bgColor indexed="64"/>
      </patternFill>
    </fill>
    <fill>
      <patternFill patternType="solid">
        <fgColor rgb="FF92D050"/>
        <bgColor indexed="64"/>
      </patternFill>
    </fill>
    <fill>
      <patternFill patternType="solid">
        <fgColor rgb="FFFFC000"/>
        <bgColor indexed="64"/>
      </patternFill>
    </fill>
    <fill>
      <patternFill patternType="solid">
        <fgColor rgb="FF5B9BD5"/>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rgb="FFFFFF99"/>
        <bgColor rgb="FF000000"/>
      </patternFill>
    </fill>
    <fill>
      <patternFill patternType="solid">
        <fgColor rgb="FFA6A6A6"/>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style="medium">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48">
    <xf numFmtId="0" fontId="0" fillId="0" borderId="0" xfId="0"/>
    <xf numFmtId="0" fontId="4" fillId="0" borderId="0" xfId="0" applyFont="1"/>
    <xf numFmtId="0" fontId="4" fillId="0" borderId="0" xfId="0" applyFont="1" applyAlignment="1">
      <alignment horizontal="left"/>
    </xf>
    <xf numFmtId="43" fontId="4" fillId="0" borderId="0" xfId="0" applyNumberFormat="1" applyFont="1"/>
    <xf numFmtId="43" fontId="5" fillId="0" borderId="0" xfId="0" applyNumberFormat="1" applyFont="1"/>
    <xf numFmtId="10" fontId="4" fillId="0" borderId="0" xfId="0" applyNumberFormat="1" applyFont="1" applyAlignment="1">
      <alignment vertical="center"/>
    </xf>
    <xf numFmtId="0" fontId="8" fillId="0" borderId="1" xfId="3" applyFont="1" applyFill="1" applyBorder="1" applyAlignment="1">
      <alignment horizontal="left" vertical="center" wrapText="1"/>
    </xf>
    <xf numFmtId="165" fontId="8" fillId="0" borderId="1" xfId="0" applyNumberFormat="1" applyFont="1" applyBorder="1" applyAlignment="1">
      <alignment horizontal="center" vertical="center"/>
    </xf>
    <xf numFmtId="43" fontId="8" fillId="0" borderId="1" xfId="4" applyFont="1" applyFill="1" applyBorder="1" applyAlignment="1">
      <alignment horizontal="center" vertical="center"/>
    </xf>
    <xf numFmtId="0" fontId="8" fillId="0" borderId="1" xfId="0" applyFont="1" applyBorder="1" applyAlignment="1">
      <alignment horizontal="center" vertical="center"/>
    </xf>
    <xf numFmtId="43" fontId="8" fillId="0" borderId="1" xfId="4" applyFont="1" applyFill="1" applyBorder="1" applyAlignment="1">
      <alignment vertical="center"/>
    </xf>
    <xf numFmtId="43" fontId="6" fillId="0" borderId="1" xfId="4" applyFont="1" applyFill="1" applyBorder="1" applyAlignment="1">
      <alignment vertical="center"/>
    </xf>
    <xf numFmtId="0" fontId="8" fillId="0" borderId="1" xfId="0" applyFont="1" applyBorder="1" applyAlignment="1">
      <alignment horizontal="center" vertical="center" wrapText="1"/>
    </xf>
    <xf numFmtId="43" fontId="8" fillId="0" borderId="1" xfId="4" applyFont="1" applyFill="1" applyBorder="1" applyAlignment="1"/>
    <xf numFmtId="43" fontId="0" fillId="0" borderId="0" xfId="0" applyNumberFormat="1"/>
    <xf numFmtId="10" fontId="0" fillId="0" borderId="0" xfId="0" applyNumberFormat="1" applyAlignment="1">
      <alignment vertical="center"/>
    </xf>
    <xf numFmtId="0" fontId="0" fillId="0" borderId="0" xfId="0" applyAlignment="1">
      <alignment horizontal="left"/>
    </xf>
    <xf numFmtId="0" fontId="2" fillId="0" borderId="0" xfId="0" applyFont="1"/>
    <xf numFmtId="164" fontId="6" fillId="3" borderId="9" xfId="0" applyNumberFormat="1" applyFont="1" applyFill="1" applyBorder="1" applyAlignment="1">
      <alignment horizontal="center" vertical="center" wrapText="1"/>
    </xf>
    <xf numFmtId="0" fontId="0" fillId="0" borderId="0" xfId="0" applyAlignment="1">
      <alignment wrapText="1"/>
    </xf>
    <xf numFmtId="0" fontId="12" fillId="0" borderId="5" xfId="0" applyFont="1" applyBorder="1" applyAlignment="1">
      <alignment horizontal="right"/>
    </xf>
    <xf numFmtId="0" fontId="10" fillId="0" borderId="0" xfId="0" applyFont="1"/>
    <xf numFmtId="14" fontId="11" fillId="0" borderId="14" xfId="0" applyNumberFormat="1" applyFont="1" applyBorder="1" applyAlignment="1">
      <alignment horizontal="left" vertical="center"/>
    </xf>
    <xf numFmtId="166" fontId="11" fillId="0" borderId="0" xfId="0" applyNumberFormat="1" applyFont="1"/>
    <xf numFmtId="166" fontId="11" fillId="2" borderId="0" xfId="0" applyNumberFormat="1" applyFont="1" applyFill="1"/>
    <xf numFmtId="0" fontId="10" fillId="2" borderId="0" xfId="0" applyFont="1" applyFill="1" applyAlignment="1">
      <alignment horizontal="right"/>
    </xf>
    <xf numFmtId="0" fontId="15" fillId="0" borderId="0" xfId="0" applyFont="1"/>
    <xf numFmtId="0" fontId="15" fillId="2" borderId="0" xfId="0" applyFont="1" applyFill="1"/>
    <xf numFmtId="0" fontId="16" fillId="0" borderId="0" xfId="0" applyFont="1"/>
    <xf numFmtId="0" fontId="17" fillId="0" borderId="0" xfId="0" applyFont="1" applyAlignment="1">
      <alignment horizontal="left" vertical="center" indent="1"/>
    </xf>
    <xf numFmtId="0" fontId="17" fillId="0" borderId="0" xfId="0" applyFont="1" applyAlignment="1">
      <alignment horizontal="left" vertical="center" indent="2"/>
    </xf>
    <xf numFmtId="0" fontId="19" fillId="0" borderId="0" xfId="0" applyFont="1" applyAlignment="1">
      <alignment horizontal="left" vertical="center" indent="1"/>
    </xf>
    <xf numFmtId="0" fontId="20" fillId="0" borderId="0" xfId="0" applyFont="1" applyAlignment="1">
      <alignment horizontal="left" vertical="center" indent="1"/>
    </xf>
    <xf numFmtId="0" fontId="21" fillId="0" borderId="0" xfId="3" applyFont="1" applyAlignment="1">
      <alignment horizontal="left" vertical="center" indent="1"/>
    </xf>
    <xf numFmtId="0" fontId="17" fillId="0" borderId="0" xfId="0" applyFont="1" applyAlignment="1">
      <alignment vertical="center"/>
    </xf>
    <xf numFmtId="0" fontId="22" fillId="0" borderId="0" xfId="3" applyFont="1" applyAlignment="1">
      <alignment vertical="center"/>
    </xf>
    <xf numFmtId="0" fontId="15" fillId="0" borderId="0" xfId="0" applyFont="1" applyAlignment="1">
      <alignment horizontal="right"/>
    </xf>
    <xf numFmtId="0" fontId="15" fillId="0" borderId="6" xfId="0" applyFont="1" applyBorder="1" applyAlignment="1">
      <alignment vertical="center"/>
    </xf>
    <xf numFmtId="14" fontId="10" fillId="0" borderId="0" xfId="0" applyNumberFormat="1" applyFont="1" applyAlignment="1">
      <alignment horizontal="right" vertical="center"/>
    </xf>
    <xf numFmtId="0" fontId="10" fillId="0" borderId="13" xfId="0" applyFont="1" applyBorder="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vertical="center"/>
    </xf>
    <xf numFmtId="49" fontId="8" fillId="0" borderId="1" xfId="0" applyNumberFormat="1" applyFont="1" applyBorder="1" applyAlignment="1">
      <alignment horizontal="center" vertical="center"/>
    </xf>
    <xf numFmtId="0" fontId="8" fillId="0" borderId="1" xfId="0" applyFont="1" applyBorder="1" applyAlignment="1">
      <alignment vertical="center" wrapText="1"/>
    </xf>
    <xf numFmtId="10" fontId="4" fillId="0" borderId="1" xfId="2" applyNumberFormat="1" applyFont="1" applyFill="1" applyBorder="1" applyAlignment="1">
      <alignment vertical="center"/>
    </xf>
    <xf numFmtId="43" fontId="0" fillId="0" borderId="1" xfId="1" applyFont="1" applyFill="1" applyBorder="1" applyAlignment="1">
      <alignment vertical="center"/>
    </xf>
    <xf numFmtId="0" fontId="25" fillId="0" borderId="0" xfId="0" applyFont="1" applyAlignment="1">
      <alignment horizontal="center" vertical="center"/>
    </xf>
    <xf numFmtId="49" fontId="4" fillId="0" borderId="0" xfId="0" applyNumberFormat="1" applyFont="1" applyAlignment="1">
      <alignment vertical="center"/>
    </xf>
    <xf numFmtId="49" fontId="4" fillId="0" borderId="0" xfId="0" applyNumberFormat="1" applyFont="1" applyAlignment="1">
      <alignment vertical="center" wrapText="1"/>
    </xf>
    <xf numFmtId="43" fontId="4" fillId="0" borderId="0" xfId="0" applyNumberFormat="1" applyFont="1" applyAlignment="1">
      <alignment vertical="center"/>
    </xf>
    <xf numFmtId="0" fontId="28" fillId="0" borderId="0" xfId="0" applyFont="1" applyAlignment="1">
      <alignment horizontal="left" vertical="center" indent="1"/>
    </xf>
    <xf numFmtId="0" fontId="28" fillId="2" borderId="0" xfId="0" applyFont="1" applyFill="1" applyAlignment="1">
      <alignment horizontal="left" vertical="center" indent="1"/>
    </xf>
    <xf numFmtId="0" fontId="17" fillId="2" borderId="0" xfId="0" applyFont="1" applyFill="1" applyAlignment="1">
      <alignment horizontal="left" vertical="center" indent="2"/>
    </xf>
    <xf numFmtId="0" fontId="26" fillId="0" borderId="1" xfId="3" applyFont="1" applyFill="1" applyBorder="1" applyAlignment="1">
      <alignment horizontal="center" vertical="center"/>
    </xf>
    <xf numFmtId="0" fontId="3" fillId="0" borderId="1" xfId="3" applyFill="1" applyBorder="1" applyAlignment="1">
      <alignment horizontal="center" vertical="center"/>
    </xf>
    <xf numFmtId="0" fontId="24" fillId="0" borderId="1" xfId="3" applyFont="1" applyFill="1" applyBorder="1" applyAlignment="1">
      <alignment horizontal="center" vertical="center"/>
    </xf>
    <xf numFmtId="0" fontId="27" fillId="0" borderId="1" xfId="3" applyFont="1" applyFill="1" applyBorder="1" applyAlignment="1">
      <alignment horizontal="center" vertical="center"/>
    </xf>
    <xf numFmtId="0" fontId="8" fillId="0" borderId="10" xfId="3" applyFont="1" applyFill="1" applyBorder="1" applyAlignment="1">
      <alignment horizontal="left" vertical="center" wrapText="1"/>
    </xf>
    <xf numFmtId="49" fontId="8" fillId="0" borderId="4" xfId="0" applyNumberFormat="1" applyFont="1" applyBorder="1" applyAlignment="1">
      <alignment horizontal="center" vertical="center"/>
    </xf>
    <xf numFmtId="0" fontId="8" fillId="0" borderId="23" xfId="3" applyFont="1" applyFill="1" applyBorder="1" applyAlignment="1">
      <alignment horizontal="left" vertical="center" wrapText="1"/>
    </xf>
    <xf numFmtId="0" fontId="8" fillId="0" borderId="4" xfId="3" applyFont="1" applyFill="1" applyBorder="1" applyAlignment="1">
      <alignment horizontal="left" vertical="center" wrapText="1"/>
    </xf>
    <xf numFmtId="0" fontId="8" fillId="0" borderId="3" xfId="3" applyFont="1" applyFill="1" applyBorder="1" applyAlignment="1">
      <alignment horizontal="left" vertical="center" wrapText="1"/>
    </xf>
    <xf numFmtId="43" fontId="8" fillId="0" borderId="4" xfId="4" applyFont="1" applyFill="1" applyBorder="1" applyAlignment="1">
      <alignment vertical="center"/>
    </xf>
    <xf numFmtId="43" fontId="6" fillId="0" borderId="4" xfId="4" applyFont="1" applyFill="1" applyBorder="1" applyAlignment="1">
      <alignment vertical="center"/>
    </xf>
    <xf numFmtId="49" fontId="8" fillId="0" borderId="10" xfId="0" applyNumberFormat="1" applyFont="1" applyBorder="1" applyAlignment="1">
      <alignment horizontal="center" vertical="center"/>
    </xf>
    <xf numFmtId="0" fontId="24" fillId="0" borderId="10" xfId="3" applyFont="1" applyFill="1" applyBorder="1" applyAlignment="1">
      <alignment horizontal="center" vertical="center"/>
    </xf>
    <xf numFmtId="49" fontId="8" fillId="0" borderId="2" xfId="0" applyNumberFormat="1" applyFont="1" applyBorder="1" applyAlignment="1">
      <alignment horizontal="center" vertical="center"/>
    </xf>
    <xf numFmtId="49" fontId="8" fillId="0" borderId="23" xfId="0" applyNumberFormat="1" applyFont="1" applyBorder="1" applyAlignment="1">
      <alignment horizontal="center" vertical="center"/>
    </xf>
    <xf numFmtId="0" fontId="24" fillId="0" borderId="23" xfId="3" applyFont="1" applyFill="1" applyBorder="1" applyAlignment="1">
      <alignment horizontal="center" vertical="center"/>
    </xf>
    <xf numFmtId="0" fontId="0" fillId="0" borderId="1" xfId="0" applyBorder="1"/>
    <xf numFmtId="0" fontId="3" fillId="0" borderId="4" xfId="3" applyFill="1" applyBorder="1" applyAlignment="1">
      <alignment horizontal="center" vertical="center"/>
    </xf>
    <xf numFmtId="0" fontId="24" fillId="0" borderId="1" xfId="3" applyFont="1" applyFill="1" applyBorder="1" applyAlignment="1">
      <alignment horizontal="center" vertical="center" wrapText="1"/>
    </xf>
    <xf numFmtId="0" fontId="0" fillId="10" borderId="0" xfId="0" applyFill="1"/>
    <xf numFmtId="0" fontId="25" fillId="10" borderId="0" xfId="0" applyFont="1" applyFill="1" applyAlignment="1">
      <alignment horizontal="center" vertical="center"/>
    </xf>
    <xf numFmtId="0" fontId="0" fillId="10" borderId="0" xfId="0" applyFill="1" applyAlignment="1">
      <alignment horizontal="left"/>
    </xf>
    <xf numFmtId="0" fontId="0" fillId="10" borderId="0" xfId="0" applyFill="1" applyAlignment="1">
      <alignment wrapText="1"/>
    </xf>
    <xf numFmtId="10" fontId="0" fillId="10" borderId="0" xfId="0" applyNumberFormat="1" applyFill="1" applyAlignment="1">
      <alignment vertical="center"/>
    </xf>
    <xf numFmtId="43" fontId="2" fillId="10" borderId="0" xfId="0" applyNumberFormat="1" applyFont="1" applyFill="1"/>
    <xf numFmtId="0" fontId="4" fillId="0" borderId="0" xfId="0" applyFont="1" applyAlignment="1">
      <alignment horizontal="left" vertical="center"/>
    </xf>
    <xf numFmtId="0" fontId="4" fillId="0" borderId="0" xfId="0" applyFont="1" applyAlignment="1">
      <alignment vertical="center" wrapText="1"/>
    </xf>
    <xf numFmtId="0" fontId="8" fillId="0" borderId="4" xfId="0" applyFont="1" applyBorder="1" applyAlignment="1">
      <alignment vertical="center" wrapText="1"/>
    </xf>
    <xf numFmtId="165" fontId="8" fillId="0" borderId="4" xfId="0" applyNumberFormat="1" applyFont="1" applyBorder="1" applyAlignment="1">
      <alignment horizontal="center" vertical="center"/>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49" fontId="6" fillId="3" borderId="24" xfId="0" applyNumberFormat="1" applyFont="1" applyFill="1" applyBorder="1" applyAlignment="1">
      <alignment horizontal="center" vertical="center" wrapText="1"/>
    </xf>
    <xf numFmtId="49" fontId="6" fillId="3" borderId="25" xfId="0" applyNumberFormat="1" applyFont="1" applyFill="1" applyBorder="1" applyAlignment="1">
      <alignment horizontal="center" vertical="center" wrapText="1"/>
    </xf>
    <xf numFmtId="49" fontId="6" fillId="3" borderId="9" xfId="0" quotePrefix="1" applyNumberFormat="1" applyFont="1" applyFill="1" applyBorder="1" applyAlignment="1">
      <alignment horizontal="center" vertical="center" wrapText="1"/>
    </xf>
    <xf numFmtId="49" fontId="6" fillId="3" borderId="9" xfId="0" applyNumberFormat="1" applyFont="1" applyFill="1" applyBorder="1" applyAlignment="1">
      <alignment horizontal="center" vertical="center" wrapText="1"/>
    </xf>
    <xf numFmtId="49" fontId="6" fillId="3" borderId="9" xfId="0" applyNumberFormat="1" applyFont="1" applyFill="1" applyBorder="1" applyAlignment="1">
      <alignment horizontal="left" vertical="center" wrapText="1"/>
    </xf>
    <xf numFmtId="49" fontId="7" fillId="3" borderId="26" xfId="0" applyNumberFormat="1" applyFont="1" applyFill="1" applyBorder="1" applyAlignment="1">
      <alignment horizontal="center" vertical="center" wrapText="1"/>
    </xf>
    <xf numFmtId="49" fontId="6" fillId="4" borderId="9" xfId="0" applyNumberFormat="1" applyFont="1" applyFill="1" applyBorder="1" applyAlignment="1">
      <alignment horizontal="center" vertical="center" wrapText="1"/>
    </xf>
    <xf numFmtId="43" fontId="6" fillId="3" borderId="9" xfId="0" applyNumberFormat="1" applyFont="1" applyFill="1" applyBorder="1" applyAlignment="1">
      <alignment horizontal="center" vertical="center" wrapText="1"/>
    </xf>
    <xf numFmtId="43" fontId="6" fillId="5" borderId="9" xfId="0" applyNumberFormat="1" applyFont="1" applyFill="1" applyBorder="1" applyAlignment="1">
      <alignment horizontal="center" vertical="center" wrapText="1"/>
    </xf>
    <xf numFmtId="164" fontId="6" fillId="3" borderId="27" xfId="0" applyNumberFormat="1" applyFont="1" applyFill="1" applyBorder="1" applyAlignment="1">
      <alignment horizontal="center" vertical="center" wrapText="1"/>
    </xf>
    <xf numFmtId="43" fontId="6" fillId="3" borderId="9" xfId="4" applyFont="1" applyFill="1" applyBorder="1" applyAlignment="1">
      <alignment horizontal="center" vertical="center" wrapText="1"/>
    </xf>
    <xf numFmtId="43" fontId="6" fillId="8" borderId="9" xfId="4" applyFont="1" applyFill="1" applyBorder="1" applyAlignment="1">
      <alignment horizontal="center" vertical="center" wrapText="1"/>
    </xf>
    <xf numFmtId="43" fontId="6" fillId="6" borderId="9" xfId="4" applyFont="1" applyFill="1" applyBorder="1" applyAlignment="1">
      <alignment horizontal="center" vertical="center" wrapText="1"/>
    </xf>
    <xf numFmtId="43" fontId="6" fillId="4" borderId="9" xfId="4" applyFont="1" applyFill="1" applyBorder="1" applyAlignment="1">
      <alignment horizontal="center" vertical="center" wrapText="1"/>
    </xf>
    <xf numFmtId="10" fontId="6" fillId="3" borderId="25" xfId="4" applyNumberFormat="1" applyFont="1" applyFill="1" applyBorder="1" applyAlignment="1">
      <alignment horizontal="center" vertical="center" wrapText="1"/>
    </xf>
    <xf numFmtId="0" fontId="9" fillId="4" borderId="9" xfId="0" applyFont="1" applyFill="1" applyBorder="1" applyAlignment="1">
      <alignment horizontal="center" vertical="center" wrapText="1"/>
    </xf>
    <xf numFmtId="17" fontId="9" fillId="4" borderId="9" xfId="0" applyNumberFormat="1" applyFont="1" applyFill="1" applyBorder="1" applyAlignment="1">
      <alignment horizontal="center" vertical="center"/>
    </xf>
    <xf numFmtId="49" fontId="9" fillId="4" borderId="9" xfId="0" applyNumberFormat="1" applyFont="1" applyFill="1" applyBorder="1" applyAlignment="1">
      <alignment vertical="center" wrapText="1"/>
    </xf>
    <xf numFmtId="49" fontId="9" fillId="4" borderId="28" xfId="0" applyNumberFormat="1" applyFont="1" applyFill="1" applyBorder="1" applyAlignment="1">
      <alignment vertical="center" wrapText="1"/>
    </xf>
    <xf numFmtId="0" fontId="0" fillId="4" borderId="1" xfId="0" applyFill="1" applyBorder="1" applyAlignment="1">
      <alignment vertical="center"/>
    </xf>
    <xf numFmtId="40" fontId="0" fillId="4" borderId="4" xfId="0" applyNumberFormat="1" applyFill="1" applyBorder="1" applyAlignment="1">
      <alignment vertical="center"/>
    </xf>
    <xf numFmtId="40" fontId="0" fillId="4" borderId="1" xfId="0" applyNumberFormat="1" applyFill="1" applyBorder="1" applyAlignment="1">
      <alignment vertical="center"/>
    </xf>
    <xf numFmtId="40" fontId="0" fillId="9" borderId="1" xfId="0" applyNumberFormat="1" applyFill="1" applyBorder="1" applyAlignment="1">
      <alignment vertical="center"/>
    </xf>
    <xf numFmtId="40" fontId="2" fillId="10" borderId="0" xfId="0" applyNumberFormat="1" applyFont="1" applyFill="1"/>
    <xf numFmtId="0" fontId="29" fillId="11" borderId="1" xfId="0" applyFont="1" applyFill="1" applyBorder="1"/>
    <xf numFmtId="0" fontId="29" fillId="11" borderId="3" xfId="0" applyFont="1" applyFill="1" applyBorder="1"/>
    <xf numFmtId="4" fontId="29" fillId="11" borderId="3" xfId="0" applyNumberFormat="1" applyFont="1" applyFill="1" applyBorder="1"/>
    <xf numFmtId="0" fontId="29" fillId="11" borderId="4" xfId="0" applyFont="1" applyFill="1" applyBorder="1"/>
    <xf numFmtId="0" fontId="29" fillId="11" borderId="11" xfId="0" applyFont="1" applyFill="1" applyBorder="1"/>
    <xf numFmtId="4" fontId="29" fillId="11" borderId="11" xfId="0" applyNumberFormat="1" applyFont="1" applyFill="1" applyBorder="1"/>
    <xf numFmtId="0" fontId="29" fillId="12" borderId="11" xfId="0" applyFont="1" applyFill="1" applyBorder="1"/>
    <xf numFmtId="0" fontId="0" fillId="4" borderId="1" xfId="0" applyFill="1" applyBorder="1" applyAlignment="1">
      <alignment vertical="center" wrapText="1"/>
    </xf>
    <xf numFmtId="0" fontId="29" fillId="11" borderId="1" xfId="0" applyFont="1" applyFill="1" applyBorder="1" applyAlignment="1">
      <alignment wrapText="1"/>
    </xf>
    <xf numFmtId="0" fontId="29" fillId="11" borderId="4" xfId="0" applyFont="1" applyFill="1" applyBorder="1" applyAlignment="1">
      <alignment wrapText="1"/>
    </xf>
    <xf numFmtId="4" fontId="30" fillId="11" borderId="1" xfId="0" applyNumberFormat="1" applyFont="1" applyFill="1" applyBorder="1"/>
    <xf numFmtId="4" fontId="30" fillId="11" borderId="3" xfId="0" applyNumberFormat="1" applyFont="1" applyFill="1" applyBorder="1"/>
    <xf numFmtId="4" fontId="29" fillId="11" borderId="1" xfId="0" applyNumberFormat="1" applyFont="1" applyFill="1" applyBorder="1"/>
    <xf numFmtId="4" fontId="30" fillId="11" borderId="4" xfId="0" applyNumberFormat="1" applyFont="1" applyFill="1" applyBorder="1"/>
    <xf numFmtId="4" fontId="30" fillId="11" borderId="11" xfId="0" applyNumberFormat="1" applyFont="1" applyFill="1" applyBorder="1"/>
    <xf numFmtId="0" fontId="30" fillId="11" borderId="1" xfId="0" applyFont="1" applyFill="1" applyBorder="1" applyAlignment="1">
      <alignment wrapText="1"/>
    </xf>
    <xf numFmtId="0" fontId="30" fillId="11" borderId="4" xfId="0" applyFont="1" applyFill="1" applyBorder="1" applyAlignment="1">
      <alignment wrapText="1"/>
    </xf>
    <xf numFmtId="43" fontId="0" fillId="4" borderId="1" xfId="1" applyFont="1" applyFill="1" applyBorder="1" applyAlignment="1">
      <alignment vertical="center"/>
    </xf>
    <xf numFmtId="40" fontId="0" fillId="0" borderId="0" xfId="0" applyNumberFormat="1"/>
    <xf numFmtId="10" fontId="31" fillId="0" borderId="0" xfId="0" applyNumberFormat="1" applyFont="1" applyAlignment="1">
      <alignment horizontal="right" vertical="center"/>
    </xf>
    <xf numFmtId="43" fontId="2" fillId="7" borderId="5" xfId="0" applyNumberFormat="1" applyFont="1" applyFill="1" applyBorder="1" applyAlignment="1">
      <alignment horizontal="center" vertical="center"/>
    </xf>
    <xf numFmtId="43" fontId="2" fillId="7" borderId="6" xfId="0" applyNumberFormat="1" applyFont="1" applyFill="1" applyBorder="1" applyAlignment="1">
      <alignment horizontal="center" vertical="center"/>
    </xf>
    <xf numFmtId="0" fontId="12" fillId="0" borderId="5" xfId="0" applyFont="1" applyBorder="1" applyAlignment="1">
      <alignment horizontal="left" vertical="center"/>
    </xf>
    <xf numFmtId="0" fontId="12" fillId="0" borderId="12" xfId="0" applyFont="1" applyBorder="1" applyAlignment="1">
      <alignment horizontal="left" vertical="center"/>
    </xf>
    <xf numFmtId="0" fontId="12" fillId="0" borderId="6" xfId="0" applyFont="1" applyBorder="1" applyAlignment="1">
      <alignment horizontal="left" vertical="center"/>
    </xf>
    <xf numFmtId="0" fontId="14" fillId="2" borderId="7" xfId="0" applyFont="1" applyFill="1" applyBorder="1" applyAlignment="1">
      <alignment horizontal="center"/>
    </xf>
    <xf numFmtId="0" fontId="14" fillId="2" borderId="16" xfId="0" applyFont="1" applyFill="1" applyBorder="1" applyAlignment="1">
      <alignment horizontal="center"/>
    </xf>
    <xf numFmtId="166" fontId="13" fillId="0" borderId="12" xfId="0" applyNumberFormat="1" applyFont="1" applyBorder="1" applyAlignment="1">
      <alignment horizontal="center" vertical="center"/>
    </xf>
    <xf numFmtId="0" fontId="10" fillId="2" borderId="15" xfId="0" applyFont="1" applyFill="1" applyBorder="1" applyAlignment="1">
      <alignment horizontal="right"/>
    </xf>
    <xf numFmtId="0" fontId="10" fillId="2" borderId="7" xfId="0" applyFont="1" applyFill="1" applyBorder="1" applyAlignment="1">
      <alignment horizontal="right"/>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lignment horizontal="center" vertical="center" wrapText="1"/>
    </xf>
    <xf numFmtId="0" fontId="2" fillId="0" borderId="2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1" xfId="0" applyFont="1" applyBorder="1" applyAlignment="1">
      <alignment horizontal="center" vertical="center" wrapText="1"/>
    </xf>
  </cellXfs>
  <cellStyles count="6">
    <cellStyle name="Comma" xfId="1" builtinId="3"/>
    <cellStyle name="Comma 2 2" xfId="5" xr:uid="{39DFBE54-3F3A-4BCC-8A04-750D3E2BFC5E}"/>
    <cellStyle name="Comma 3" xfId="4" xr:uid="{681E8936-80E7-4B8D-8906-FFF1C548C976}"/>
    <cellStyle name="Hyperlink" xfId="3" builtinId="8"/>
    <cellStyle name="Normal" xfId="0" builtinId="0"/>
    <cellStyle name="Percent" xfId="2" builtinId="5"/>
  </cellStyles>
  <dxfs count="0"/>
  <tableStyles count="0" defaultTableStyle="TableStyleMedium2" defaultPivotStyle="PivotStyleLight16"/>
  <colors>
    <mruColors>
      <color rgb="FFFFFF99"/>
      <color rgb="FF00FF00"/>
      <color rgb="FF0066FF"/>
      <color rgb="FF66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ARPTeam/Shared%20Documents/General/ARPA%20Master%20Reports/Grant%20Declining%20Balance%20-%20Master%204.21.26.xlsm" TargetMode="External"/><Relationship Id="rId2" Type="http://schemas.openxmlformats.org/officeDocument/2006/relationships/externalLinkPath" Target="https://nv.sharepoint.com/sites/ARPTeam/Shared%20Documents/General/ARPA%20Master%20Reports/Grant%20Declining%20Balance%20-%20Master%204.21.26.xlsm" TargetMode="External"/><Relationship Id="rId1" Type="http://schemas.openxmlformats.org/officeDocument/2006/relationships/externalLinkPath" Target="/sites/ARPTeam/Shared%20Documents/General/ARPA%20Master%20Reports/Grant%20Declining%20Balance%20-%20Master%204.21.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lor Coding"/>
      <sheetName val="SLFRF-IFC Report Updates"/>
      <sheetName val="CashBalFwd-FY25 to FY26"/>
      <sheetName val="DeOb Pitcher Catcher-Completed"/>
      <sheetName val="DeOb PC(RESERVE)-Completed"/>
      <sheetName val="Residential Bed - Funds"/>
      <sheetName val="Funding Needs by Priority"/>
      <sheetName val="Needs Funding"/>
      <sheetName val="SafetyNetList"/>
      <sheetName val="Spending Concerns"/>
      <sheetName val="PROJECTS (Agencies &amp; CRGs)"/>
      <sheetName val="DeOb Pitcher Catcher (Pndg)"/>
      <sheetName val="Tab Master"/>
      <sheetName val="015-CRG 04"/>
      <sheetName val="015-CRG 040"/>
      <sheetName val="015-CRG 039"/>
      <sheetName val="015-CRG 063"/>
      <sheetName val="015-CRG 069"/>
      <sheetName val="015-CRG 073"/>
      <sheetName val="015-CRG 083"/>
      <sheetName val="015-CRG 103"/>
      <sheetName val="015-CRG 111"/>
      <sheetName val="015-CRG 126"/>
      <sheetName val="015-CRG 127"/>
      <sheetName val="015-CRG 119"/>
      <sheetName val="015-CRG 148"/>
      <sheetName val="015-CRG 173"/>
      <sheetName val="015-CRG 187"/>
      <sheetName val="015-CRG 188"/>
      <sheetName val="015-CRG 214"/>
      <sheetName val="015-CRG 226"/>
      <sheetName val="015-CRG 232"/>
      <sheetName val="015-CRG 238"/>
      <sheetName val="015-CRG 240"/>
      <sheetName val="015-CRG 242"/>
      <sheetName val="015-CRG 252"/>
      <sheetName val="015-CRG 255"/>
      <sheetName val="015-CRG 266"/>
      <sheetName val="015-CRG 269"/>
      <sheetName val="015-CRG 277"/>
      <sheetName val="015-CRG 278"/>
      <sheetName val="015-CRG 301"/>
      <sheetName val="015-CRG 304"/>
      <sheetName val="015-CRG 311"/>
      <sheetName val="015-CRG 312"/>
      <sheetName val="015-CRG 329"/>
      <sheetName val="015-CRG 334"/>
      <sheetName val="015-22CLBCF01"/>
      <sheetName val="010-22GOVIQ01"/>
      <sheetName val="010-22GOVST01"/>
      <sheetName val="010-22GOVST01a"/>
      <sheetName val="010-22GOVST01b-c"/>
      <sheetName val="010-Summary GOVST &amp; IIJA"/>
      <sheetName val="010-22IIJA02"/>
      <sheetName val="010-22IIJA01a-b"/>
      <sheetName val="010-22IIJA01c-d"/>
      <sheetName val="010-23GOAVE01"/>
      <sheetName val="011-23ELCBF01"/>
      <sheetName val="014-22BRDBD01"/>
      <sheetName val="015-22DIAST01"/>
      <sheetName val="015-22DIAST02"/>
      <sheetName val="015-24DIAST02"/>
      <sheetName val="015-25DIAST02"/>
      <sheetName val="015-23GFAMP01"/>
      <sheetName val="015-22GFOST01 SFY22"/>
      <sheetName val="015-22GFOST01 SFY23"/>
      <sheetName val="015-22GFOST01 SFY24-SFY27"/>
      <sheetName val="015-23LCBAD01"/>
      <sheetName val="015-22LSTTR01"/>
      <sheetName val="015-22NSSTR40"/>
      <sheetName val="015-22NSSTR-PosRes"/>
      <sheetName val="015-22RDMP01"/>
      <sheetName val="015-22UNRDN01"/>
      <sheetName val="015-22VAXNV01"/>
      <sheetName val="015-23ACHDA01"/>
      <sheetName val="015-23ACHDA02"/>
      <sheetName val="015-23ACHDA03"/>
      <sheetName val="015-23ACHDA04"/>
      <sheetName val="015-23ACHDA05"/>
      <sheetName val="015-23CMPCM01"/>
      <sheetName val="015-23CLMAV01"/>
      <sheetName val="015-23FURPM01"/>
      <sheetName val="015-23MAPCR01"/>
      <sheetName val="015-24AB46801"/>
      <sheetName val="015-24CCNVI01"/>
      <sheetName val="015-24EDAWN01"/>
      <sheetName val="015-24CTHMH01"/>
      <sheetName val="015-24GUINN01"/>
      <sheetName val="015-24JUDE01"/>
      <sheetName val="015-24NPATH01"/>
      <sheetName val="015-24NVBGC01"/>
      <sheetName val="015-24NVBGC02"/>
      <sheetName val="015-24NVBGC03"/>
      <sheetName val="015-24NVBGC04"/>
      <sheetName val="015-24NVBGC05"/>
      <sheetName val="015-24NVBGC06"/>
      <sheetName val="015-24NVBGC07"/>
      <sheetName val="015-24NVBGC08"/>
      <sheetName val="015-24OVBVN01"/>
      <sheetName val="015-24SB51001"/>
      <sheetName val="015-24SNLEG01"/>
      <sheetName val="015-24SAFNE01"/>
      <sheetName val="015-24SNKOLL01"/>
      <sheetName val="015-24SNPSB01"/>
      <sheetName val="015-24WCWHR01"/>
      <sheetName val="015-24VTULMT01"/>
      <sheetName val="020-22OSMBA01"/>
      <sheetName val="020-23OSMBA01"/>
      <sheetName val="020-24OSMBA01"/>
      <sheetName val="030-22LASNV01"/>
      <sheetName val="030-23RFEDI01"/>
      <sheetName val="030-23RVLCA01"/>
      <sheetName val="051-22ABLE01"/>
      <sheetName val="051-22LSTTR02"/>
      <sheetName val="051-22VAXNV02"/>
      <sheetName val="060-22CTRST02"/>
      <sheetName val="060-22CTRST03"/>
      <sheetName val="060-22CTRST04-05"/>
      <sheetName val="060-23COPCN01"/>
      <sheetName val="060-23COPCN04-05"/>
      <sheetName val="070-22DHRM01"/>
      <sheetName val="070-24DHRRM01"/>
      <sheetName val="079-22MLSVC01"/>
      <sheetName val="082-23STWRM01"/>
      <sheetName val="082 - 24CCDRE01"/>
      <sheetName val="083-22PPEWR02"/>
      <sheetName val="083-22PPEWR02a"/>
      <sheetName val="086-23ASDCB01"/>
      <sheetName val="088-23OFAGW01"/>
      <sheetName val="089-23HAEFS01"/>
      <sheetName val="090-22AGLCG01"/>
      <sheetName val="090-22AOCRV01"/>
      <sheetName val="090-22EFILE01"/>
      <sheetName val="090-22JDCMS01"/>
      <sheetName val="090-22SCTRV01"/>
      <sheetName val="090-23AOCRV01"/>
      <sheetName val="090-23SCTRV01"/>
      <sheetName val="090-23SPCTR01"/>
      <sheetName val="101-23SISPT01"/>
      <sheetName val="090-23SRJRV01"/>
      <sheetName val="101-23TRIBE01"/>
      <sheetName val="102-23GOEDR01"/>
      <sheetName val="102-23GOEDW01"/>
      <sheetName val="130-22TAXSW01"/>
      <sheetName val="130-23UTSRE01"/>
      <sheetName val="150-23ETHTR01"/>
      <sheetName val="170-22LCBFR01"/>
      <sheetName val="170-22LCBIT01"/>
      <sheetName val="170-22LCBRM01"/>
      <sheetName val="170-22LCBJN01"/>
      <sheetName val="180-23ADMIC01"/>
      <sheetName val="180-23SILNT01"/>
      <sheetName val="180-23TEAMS01"/>
      <sheetName val="180-24CMSRE01"/>
      <sheetName val="230-22PSTRV01"/>
      <sheetName val="230-23POSTP01"/>
      <sheetName val="230-24PSTRV01"/>
      <sheetName val="240-22VTRBB01"/>
      <sheetName val="240-22VTRPC01"/>
      <sheetName val="240-23NNSVH01"/>
      <sheetName val="240-23VBFPN01"/>
      <sheetName val="240-23VBFPS01"/>
      <sheetName val="300-22SPWNV01"/>
      <sheetName val="300-22AB49501"/>
      <sheetName val="300-22NNVLC01"/>
      <sheetName val="300-22EDEOC01"/>
      <sheetName val="300-23EDSUR01"/>
      <sheetName val="300-23MC3PA01"/>
      <sheetName val="300-23NDESW01"/>
      <sheetName val="300-24NVSPK01"/>
      <sheetName val="300-24K12MC01"/>
      <sheetName val="315-22AB49502"/>
      <sheetName val="332-23NLSBL01"/>
      <sheetName val="350-23CCWIG01"/>
      <sheetName val="350-24CSECS01"/>
      <sheetName val="350-24FEEW01-07"/>
      <sheetName val="400-22PRVSM01"/>
      <sheetName val="400-23ARYRX01"/>
      <sheetName val="400- 23DOCMP01"/>
      <sheetName val="400-23DOCMP02"/>
      <sheetName val="400-23EIPRC01"/>
      <sheetName val="400-23NVTRI01"/>
      <sheetName val="402-22CCSCR01 (CRG193)"/>
      <sheetName val="402-22CHCMH01 (CRG208)"/>
      <sheetName val="402-22HHRHD01 (CRG224)"/>
      <sheetName val="402-22OCHA01"/>
      <sheetName val="402-23CMSMI01"/>
      <sheetName val="402-23CONSV01"/>
      <sheetName val="402-23DRCFL01"/>
      <sheetName val="402-23FCWPL01"/>
      <sheetName val="402-23GTGAC01"/>
      <sheetName val="402-23HBSMS01"/>
      <sheetName val="402-23HCAPD01"/>
      <sheetName val="402-23INHSV01"/>
      <sheetName val="402-23MCSVC01"/>
      <sheetName val="402-23NEISA01"/>
      <sheetName val="402-23NVEIS01"/>
      <sheetName val="402-23RSBEX01"/>
      <sheetName val="402-23SPINC01"/>
      <sheetName val="402-23RESSV01"/>
      <sheetName val="402-23RFPCN01"/>
      <sheetName val="402-23SVNEX01"/>
      <sheetName val="402-23TELEQ01"/>
      <sheetName val="402-23TELTR01"/>
      <sheetName val="402-23TMCSY01"/>
      <sheetName val="402-24VCRE001"/>
      <sheetName val="403-22EQRO01"/>
      <sheetName val="403-23CHPAC01"/>
      <sheetName val="403-23CHWHS01"/>
      <sheetName val="403-23DHPIS01"/>
      <sheetName val="403-23EPCRA01"/>
      <sheetName val="403-23IBCLC01"/>
      <sheetName val="403-23HCWSS01"/>
      <sheetName val="403-23IPTOC01"/>
      <sheetName val="403-23LARCS01"/>
      <sheetName val="403-23LTCAL01a"/>
      <sheetName val="403-23MCPAS01"/>
      <sheetName val="403-23RDPST01"/>
      <sheetName val="403-23RSMN01"/>
      <sheetName val="403-23SRASC01"/>
      <sheetName val="403-23SUSTF01a"/>
      <sheetName val="403-23SYUIM01"/>
      <sheetName val="406-22BBNTY01"/>
      <sheetName val="406-22BHCGM01"/>
      <sheetName val="406-22BHSTF01a"/>
      <sheetName val="406-22BHSTF01b-c"/>
      <sheetName val="406-22CSAA01"/>
      <sheetName val="406-22CVTST01"/>
      <sheetName val="406-22CVTST02"/>
      <sheetName val="406-22FRHSP01"/>
      <sheetName val="406-22FCSPT01"/>
      <sheetName val="406-22LCSFD01"/>
      <sheetName val="406-22LVMHC01"/>
      <sheetName val="406-22MCOTC01"/>
      <sheetName val="406-22MXYUP01 (CRG229)"/>
      <sheetName val="406-22NRSAP01"/>
      <sheetName val="406-23ANTLG01"/>
      <sheetName val="406-23BH98801"/>
      <sheetName val="406-23CDPHP01"/>
      <sheetName val="406-23CFAEP01"/>
      <sheetName val="406-23EMGCS01"/>
      <sheetName val="406-23CYRMC01"/>
      <sheetName val="406-23CSSBC01"/>
      <sheetName val="406-23FBCLV01"/>
      <sheetName val="406-23GIDTR01"/>
      <sheetName val="406-23HCWSS02"/>
      <sheetName val="406-23IBCLC02"/>
      <sheetName val="406-23LCCMS01"/>
      <sheetName val="406-23LRHA01"/>
      <sheetName val="406-23MHINP01"/>
      <sheetName val="406-23MNKPX01"/>
      <sheetName val="406-23NBSTR01"/>
      <sheetName val="406-23NWSPE01"/>
      <sheetName val="406-23NVRES01"/>
      <sheetName val="406-23MYAVT01"/>
      <sheetName val="406-23RCCLV01"/>
      <sheetName val="406-23RHSCC01"/>
      <sheetName val="406-24FPROS01"/>
      <sheetName val="406-24FRB3A01"/>
      <sheetName val="406-24FRB3A02"/>
      <sheetName val="406-24INTFP01"/>
      <sheetName val="406-24JBMHP01"/>
      <sheetName val="406-24SNFLT01"/>
      <sheetName val="407-23CHDIF01"/>
      <sheetName val="407-22ELYCP01"/>
      <sheetName val="407-22MEDEX01"/>
      <sheetName val="407-23ACNVM01"/>
      <sheetName val="407-23CHDSB01"/>
      <sheetName val="407-23NOMAD01"/>
      <sheetName val="407-23YTHHM01"/>
      <sheetName val="407-24SUEBT01"/>
      <sheetName val="409-22CCCWF01"/>
      <sheetName val="409-22DSWHD01"/>
      <sheetName val="409-22DSWHD01a"/>
      <sheetName val="409-22MBCRS01a"/>
      <sheetName val="409-22MBCRS01b"/>
      <sheetName val="409-22MBCRS01d"/>
      <sheetName val="409-22MBCRS01c"/>
      <sheetName val="409-22SFNST01"/>
      <sheetName val="409-22SHDTR01"/>
      <sheetName val="409-22SONSM01 (CRG225)"/>
      <sheetName val="409-22VOCSP01"/>
      <sheetName val="409-22VOCVP01"/>
      <sheetName val="409-23CAPWC01 (CRG113)"/>
      <sheetName val="409-23CBYFS01"/>
      <sheetName val="409-23CFPSP01"/>
      <sheetName val="409-23CHINA01"/>
      <sheetName val="409-23DAYTP01"/>
      <sheetName val="409-23CLKCW01"/>
      <sheetName val="409-23CSHWP01"/>
      <sheetName val="409-23EMGCS02"/>
      <sheetName val="409-23EDYHS01 (CRG123)"/>
      <sheetName val="409-23EMPLR01"/>
      <sheetName val="409-23EMPLR02"/>
      <sheetName val="409-23FTFPS01"/>
      <sheetName val="409-23IFIHS01"/>
      <sheetName val="409-23INLVY01"/>
      <sheetName val="409-23LADTR01a-b"/>
      <sheetName val="409-23LVSRC01"/>
      <sheetName val="409-23MBCCC01"/>
      <sheetName val="409-23MBCWC01"/>
      <sheetName val="409-23MYAVT02"/>
      <sheetName val="409-23NNPSI01"/>
      <sheetName val="409-23SNPSI01"/>
      <sheetName val="409-23NVPEP01 (CRG93)"/>
      <sheetName val="409-23NWFEO01"/>
      <sheetName val="409-23OASIS01"/>
      <sheetName val="409-23QRTPC01"/>
      <sheetName val="409-23RWECC01 (CRG072)"/>
      <sheetName val="409-23SPFCC01"/>
      <sheetName val="409-23SRPRN01"/>
      <sheetName val="409-23SPFWC01"/>
      <sheetName val="409-23SUPST3145"/>
      <sheetName val="409-23SUPST3146"/>
      <sheetName val="409-23SUPST01a-b"/>
      <sheetName val="409-23UNBSS01"/>
      <sheetName val="409-23UNITY01"/>
      <sheetName val="409-23WINIC01"/>
      <sheetName val="409-24VOCVP01"/>
      <sheetName val="409-24CAMRP01"/>
      <sheetName val="409-24CHINA02"/>
      <sheetName val="409-24CMH9A01"/>
      <sheetName val="430-22MLSHT01"/>
      <sheetName val="430-22PRPLE01"/>
      <sheetName val="430-24ABRMP01"/>
      <sheetName val="430-24PRPLE01"/>
      <sheetName val="440-23CGRHU01"/>
      <sheetName val="440-23DOCCE01"/>
      <sheetName val="440-23DOCFM01"/>
      <sheetName val="440-23DOCLE01"/>
      <sheetName val="440-23DOCLL01"/>
      <sheetName val="440-23DOCRA01"/>
      <sheetName val="440-23DOCWC01"/>
      <sheetName val="440-23OFREC01"/>
      <sheetName val="440-24CDOER01"/>
      <sheetName val="440-24CULEQ01"/>
      <sheetName val="440-24HDPCE01"/>
      <sheetName val="440-24NDCFS01"/>
      <sheetName val="440-25DOCEQ01"/>
      <sheetName val="480-23TRPA01"/>
      <sheetName val="550-22AGRMI01"/>
      <sheetName val="550-22AGRSN01"/>
      <sheetName val="550-22AGRST01"/>
      <sheetName val="550-22AGRST02"/>
      <sheetName val="550-22CFACG01"/>
      <sheetName val="550-22CRGFB01"/>
      <sheetName val="550-22CVFCT01"/>
      <sheetName val="550-22FDINS01-02"/>
      <sheetName val="550-22HMFNV01"/>
      <sheetName val="550-22WPFBK01 (CRG155)"/>
      <sheetName val="550-23AGRFF01"/>
      <sheetName val="550-23AGFRL01"/>
      <sheetName val="550-23AGSNO01"/>
      <sheetName val="550-24AGCOL01"/>
      <sheetName val="550-24NDABM01"/>
      <sheetName val="611-22GCBCP01"/>
      <sheetName val="611-22GCBDT01"/>
      <sheetName val="611-22GCBHD01"/>
      <sheetName val="650-22DPSTN01"/>
      <sheetName val="650-23CNATI01"/>
      <sheetName val="650-23DIGPR01"/>
      <sheetName val="650-23DPSSC01"/>
      <sheetName val="650-23NCJIS01"/>
      <sheetName val="650-24AVRSM01"/>
      <sheetName val="650-24EVMAN01"/>
      <sheetName val="650-24FAREP01"/>
      <sheetName val="650-24FREQP01"/>
      <sheetName val="650-24PBTLS01"/>
      <sheetName val="650-24PMBIK01"/>
      <sheetName val="650-24SYMPH01"/>
      <sheetName val="654-22DEMCR01"/>
      <sheetName val="654-22DEMMV01"/>
      <sheetName val="654-23NVOCR01"/>
      <sheetName val="654-22PPEWR01"/>
      <sheetName val="654-23PPEWS01"/>
      <sheetName val="700-23NWCII01"/>
      <sheetName val="704-23SPRES01"/>
      <sheetName val="702-23LKMFH01"/>
      <sheetName val="705-23DIWTR01"/>
      <sheetName val="705-23WTRIN01"/>
      <sheetName val="706-22FRRAD01"/>
      <sheetName val="706-23FRTRK01"/>
      <sheetName val="706-22MBKCH01"/>
      <sheetName val="709-23CHLEX01"/>
      <sheetName val="740-22AFDHS01"/>
      <sheetName val="740-22BIRED01"/>
      <sheetName val="740-22LLRAP01"/>
      <sheetName val="740-23EVCDV01"/>
      <sheetName val="740-23MLTHS01"/>
      <sheetName val="740-23RNTAS01"/>
      <sheetName val="740 - 24WINDS01"/>
      <sheetName val="900-22GWSN01 (CRG46)"/>
      <sheetName val="900-22NERC01"/>
      <sheetName val="900-22UIADV01"/>
      <sheetName val="900-22COMSA01"/>
      <sheetName val="900-22UIMOD01"/>
      <sheetName val="900-22UIMOD01a"/>
      <sheetName val="900-22UIMOD01b"/>
      <sheetName val="900-22UIMOD01c"/>
      <sheetName val="900-23CLACD01"/>
      <sheetName val="900-23DTRBL01"/>
      <sheetName val="900-23NVPIR01"/>
      <sheetName val="950-22PEBTK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row r="63">
          <cell r="Q63">
            <v>5975715.9699999997</v>
          </cell>
        </row>
      </sheetData>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8638C2D0-1F2F-426A-85C6-68A44FF99118}"/>
  <namedSheetView name="View2" id="{5A247DCE-3905-497D-B072-21B2010A2AE9}"/>
  <namedSheetView name="View3" id="{5453381F-F67E-4B0A-9C22-6D0E9949E3FC}"/>
  <namedSheetView name="View4" id="{AD475D41-B898-4F7C-86CF-995909A29682}"/>
  <namedSheetView name="View5" id="{05F6B700-D786-405A-A29B-584AB62D5E5E}"/>
  <namedSheetView name="View6" id="{601D11EC-0435-4A20-AD6E-18881794DC67}"/>
  <namedSheetView name="View7" id="{ED3F86DC-92A7-4325-A152-E447BCAEA2A1}"/>
</namedSheetViews>
</file>

<file path=xl/persons/person.xml><?xml version="1.0" encoding="utf-8"?>
<personList xmlns="http://schemas.microsoft.com/office/spreadsheetml/2018/threadedcomments" xmlns:x="http://schemas.openxmlformats.org/spreadsheetml/2006/main">
  <person displayName="Casey Van Patten" id="{09AF92E4-A7B6-4906-A310-67AD283719DB}" userId="S::cpatten@finance.nv.gov::05ecaf61-5b5c-4b1d-b3fd-6838fb48b206" providerId="AD"/>
  <person displayName="Kelli E. Anderson" id="{95BB7F7A-0291-4586-B313-38F0D4A0F522}" userId="S::andersonk@finance.nv.gov::653b3914-056c-4086-895a-44b6d2b35d0b" providerId="AD"/>
  <person displayName="Danette M. Kluever" id="{F7CB1ED6-3621-4A47-BB13-B35178656780}" userId="S::dmkluever@finance.nv.gov::50926234-bd15-4a2c-889f-9e84033ed404" providerId="AD"/>
  <person displayName="Lesa Galloway" id="{0C70FFA3-53A6-49C4-AEB6-3846F026DDDC}" userId="S::lgalloway@finance.nv.gov::f934939c-6f1a-48f4-8893-2002b4c9016e"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5" dT="2025-11-04T21:37:34.98" personId="{F7CB1ED6-3621-4A47-BB13-B35178656780}" id="{45A746E6-CB43-45BD-A91F-178F83C2AB9E}">
    <text>Partial DEOB $13,339.40 WP#26FRF32762</text>
  </threadedComment>
  <threadedComment ref="I7" dT="2024-02-29T15:09:21.40" personId="{09AF92E4-A7B6-4906-A310-67AD283719DB}" id="{D253FF46-2DB2-4899-BB31-B8FA680C089D}">
    <text>Changed from 3266 to 3278 in FY24</text>
  </threadedComment>
  <threadedComment ref="Q7" dT="2024-03-19T21:02:38.08" personId="{95BB7F7A-0291-4586-B313-38F0D4A0F522}" id="{321C5D20-60E7-46B0-8323-2BEDF000C7D8}">
    <text xml:space="preserve">Deob WP of WP24FRF32784
</text>
  </threadedComment>
  <threadedComment ref="I8" dT="2024-03-11T15:25:17.29" personId="{09AF92E4-A7B6-4906-A310-67AD283719DB}" id="{338CF11B-152E-4BE2-A800-554492FB3C24}">
    <text>Danette M. Kluever:
Moved from BA3266 to BA3278 in SFY24</text>
  </threadedComment>
  <threadedComment ref="Q8" dT="2024-03-19T21:04:50.99" personId="{95BB7F7A-0291-4586-B313-38F0D4A0F522}" id="{9F246431-D02A-4AB4-88A1-2E6558D4F0B9}">
    <text xml:space="preserve">Deob WP 24FRF32787
</text>
  </threadedComment>
  <threadedComment ref="I9" dT="2024-03-11T15:27:14.29" personId="{09AF92E4-A7B6-4906-A310-67AD283719DB}" id="{AD5EE015-C5D4-4E18-93B9-5A09CE0DC374}">
    <text>Danette M. Kluever:
Moved from BA3266 to BA3278 in SFY24</text>
  </threadedComment>
  <threadedComment ref="Q9" dT="2024-03-19T21:05:11.40" personId="{95BB7F7A-0291-4586-B313-38F0D4A0F522}" id="{C2B4E004-DDA9-4DB8-A55F-34B0327CEB0B}">
    <text xml:space="preserve">DeOb WP24FRF32786
</text>
  </threadedComment>
  <threadedComment ref="S10" dT="2026-02-24T21:10:39.22" personId="{F7CB1ED6-3621-4A47-BB13-B35178656780}" id="{3458751C-314F-4956-B644-0A64F76440D4}">
    <text>WP26FRF32793 Partial DEOB $1,098,249.81 FEB IFC</text>
  </threadedComment>
  <threadedComment ref="S10" dT="2026-03-10T16:16:13.14" personId="{F7CB1ED6-3621-4A47-BB13-B35178656780}" id="{093C8E4B-A1EF-4D02-808B-E89730F3BDC8}" parentId="{3458751C-314F-4956-B644-0A64F76440D4}">
    <text>WP26FRF32794 Partial DEOB/Redirect $600,000 to 24CMH9A01 Campus for Hope APR IFC</text>
  </threadedComment>
  <threadedComment ref="I11" dT="2024-10-02T17:01:23.14" personId="{F7CB1ED6-3621-4A47-BB13-B35178656780}" id="{C3061126-A045-4C4A-AE1F-F61FA445404C}">
    <text>Change to BA3278 eff FY24, no Exp in FY23 to BA3266</text>
  </threadedComment>
  <threadedComment ref="I12" dT="2024-10-02T17:01:23.14" personId="{F7CB1ED6-3621-4A47-BB13-B35178656780}" id="{45F13041-86A9-41A9-8866-99CB2BEF8775}">
    <text>Change to BA3278 eff FY24, no Exp in FY23 to BA3266</text>
  </threadedComment>
  <threadedComment ref="Q12" dT="2024-03-19T21:26:01.71" personId="{95BB7F7A-0291-4586-B313-38F0D4A0F522}" id="{279F5A38-0B7B-48E3-9FB1-E0834F7D0340}">
    <text xml:space="preserve">SFY 24 De-Ob #24FRF32785
</text>
  </threadedComment>
  <threadedComment ref="P16" dT="2024-03-28T19:19:19.81" personId="{95BB7F7A-0291-4586-B313-38F0D4A0F522}" id="{CD88AA33-7FFC-410A-BEE1-3E83A19045ED}">
    <text xml:space="preserve">Pending Grant Realignment WP for $2,896,697 reduction in authority (DK)
</text>
  </threadedComment>
  <threadedComment ref="P16" dT="2024-03-28T19:20:52.49" personId="{95BB7F7A-0291-4586-B313-38F0D4A0F522}" id="{9477ABC6-4F47-435A-A7E2-60CA66069996}" parentId="{CD88AA33-7FFC-410A-BEE1-3E83A19045ED}">
    <text>$5,000,000 - transferred to DCFS under WP# 23FR314521</text>
  </threadedComment>
  <threadedComment ref="Q16" dT="2024-03-28T21:20:02.95" personId="{F7CB1ED6-3621-4A47-BB13-B35178656780}" id="{F7644641-EB53-4DEE-8420-57BB243F05E9}">
    <text xml:space="preserve">Agency Submitted DeOb for $2,896,697 that was signed off.  Agency sent email to the COVID19 mailbox Requesting to Retract DeOB.  Dan told Amy @ ARPA Admin Mtng 3.14.24 and she is checking with Jim Wells. </text>
  </threadedComment>
  <threadedComment ref="Q16" dT="2024-05-11T16:41:53.77" personId="{0C70FFA3-53A6-49C4-AEB6-3846F026DDDC}" id="{EB25B820-5F78-4417-B3F1-2280C249667B}" parentId="{F7644641-EB53-4DEE-8420-57BB243F05E9}">
    <text>$2.8 retracted but agency is giving up 1.9 per J. Wells. WP 24FR316504 (-903,303) combined with an L01 of 3,945,507 reduces the award by the 1.9 million.</text>
  </threadedComment>
  <threadedComment ref="Q16" dT="2024-05-17T23:21:56.56" personId="{95BB7F7A-0291-4586-B313-38F0D4A0F522}" id="{38B6187A-EF99-43E6-BA5A-9A5EB41C489D}" parentId="{F7644641-EB53-4DEE-8420-57BB243F05E9}">
    <text>WP #24FR316504 $903,303</text>
  </threadedComment>
  <threadedComment ref="S20" dT="2025-12-11T20:14:39.36" personId="{F7CB1ED6-3621-4A47-BB13-B35178656780}" id="{DCEE1AD0-874F-4EFE-A218-825D8CE94878}">
    <text>Partial Deob $288,337.50 Transfer to Jail Based 24JBMHP01</text>
  </threadedComment>
  <threadedComment ref="O25" dT="2024-03-05T22:52:47.00" personId="{09AF92E4-A7B6-4906-A310-67AD283719DB}" id="{E4B7AF16-3ED3-4017-8ADC-75986F85056B}">
    <text>Deob WP 24FRF36453</text>
  </threadedComment>
  <threadedComment ref="Q25" dT="2024-05-17T20:13:05.74" personId="{95BB7F7A-0291-4586-B313-38F0D4A0F522}" id="{7219DED1-DD42-4E82-9A78-22E88BD301AE}">
    <text xml:space="preserve">De-Obligation #24FR132776 $744,094 - June 2024 IFC </text>
  </threadedComment>
  <threadedComment ref="Q25" dT="2024-06-05T21:29:00.16" personId="{F7CB1ED6-3621-4A47-BB13-B35178656780}" id="{F1CBA2B0-419C-4FAF-B19A-5E8E0D2396B2}" parentId="{7219DED1-DD42-4E82-9A78-22E88BD301AE}">
    <text>Agency De-Ob WP# 24FRF36454</text>
  </threadedComment>
  <threadedComment ref="L26" dT="2025-10-01T18:07:41.58" personId="{F7CB1ED6-3621-4A47-BB13-B35178656780}" id="{60A88AAD-C6E2-407F-BEE2-85BD886466AA}">
    <text>Supplemental#1=$2,939,148 &amp; Supplemental #2 =$221,588.96 Supplemental #3= $530,360.14</text>
  </threadedComment>
  <threadedComment ref="L26" dT="2025-12-18T23:29:40.86" personId="{F7CB1ED6-3621-4A47-BB13-B35178656780}" id="{F8F88CF5-F5C4-453F-8822-2D2F44748ED2}" parentId="{60A88AAD-C6E2-407F-BEE2-85BD886466AA}">
    <text>Supplemental #2+#3 = $751,950.10 26FRF31613 FEB-IFC</text>
  </threadedComment>
  <threadedComment ref="Q27" dT="2024-05-17T20:15:06.67" personId="{95BB7F7A-0291-4586-B313-38F0D4A0F522}" id="{601A6167-2FEE-4B30-BFCE-34BF7073EAF4}">
    <text xml:space="preserve">WP#24FR132777 De-Obligation $2,070,848 June 2024 IFC </text>
  </threadedComment>
  <threadedComment ref="Q27" dT="2024-06-05T21:38:43.21" personId="{F7CB1ED6-3621-4A47-BB13-B35178656780}" id="{0D039B8A-7AD3-4DA8-8F30-D7AF5F98B1E4}" parentId="{601A6167-2FEE-4B30-BFCE-34BF7073EAF4}">
    <text>Agency De-Ob WP#24FRF31618 - Revised to $593,974</text>
  </threadedComment>
  <threadedComment ref="U27" dT="2024-05-17T22:11:42.56" personId="{95BB7F7A-0291-4586-B313-38F0D4A0F522}" id="{A55118C0-78A1-455F-90D4-6EEE116E4C5D}">
    <text xml:space="preserve">WP#24FRF31618 June 2024 IFC </text>
  </threadedComment>
  <threadedComment ref="M38" dT="2024-03-06T22:48:42.06" personId="{09AF92E4-A7B6-4906-A310-67AD283719DB}" id="{A46A4A74-1BDA-4497-BFE9-291AAC2C7D84}">
    <text>L01</text>
  </threadedComment>
  <threadedComment ref="P38" dT="2024-03-19T21:09:20.41" personId="{95BB7F7A-0291-4586-B313-38F0D4A0F522}" id="{FA912A73-607A-4DCC-857F-60E10E18AFA6}">
    <text xml:space="preserve">FY23 not spent and not balanced foward
</text>
  </threadedComment>
  <threadedComment ref="S39" dT="2026-01-15T17:15:23.48" personId="{F7CB1ED6-3621-4A47-BB13-B35178656780}" id="{C29F3185-D1B2-471F-A1F4-3D9D29E9348A}">
    <text>Deob $200,000 FEB26 IFC</text>
  </threadedComment>
</ThreadedComments>
</file>

<file path=xl/threadedComments/threadedComment2.xml><?xml version="1.0" encoding="utf-8"?>
<ThreadedComments xmlns="http://schemas.microsoft.com/office/spreadsheetml/2018/threadedcomments" xmlns:x="http://schemas.openxmlformats.org/spreadsheetml/2006/main">
  <threadedComment ref="R4" dT="2025-11-04T21:37:34.98" personId="{F7CB1ED6-3621-4A47-BB13-B35178656780}" id="{28EF8F67-1B3C-4A51-82A1-EEF91F6D8729}">
    <text>Partial DEOB $13,339.40 WP#26FRF32762</text>
  </threadedComment>
  <threadedComment ref="I6" dT="2024-02-29T15:09:21.40" personId="{09AF92E4-A7B6-4906-A310-67AD283719DB}" id="{80403DA9-2646-4E59-917F-BEDFB3FDB693}">
    <text>Changed from 3266 to 3278 in FY24</text>
  </threadedComment>
  <threadedComment ref="Q6" dT="2024-03-19T21:02:38.08" personId="{95BB7F7A-0291-4586-B313-38F0D4A0F522}" id="{1E1B31AE-6619-438C-AC66-BB6AA95F1FEE}">
    <text xml:space="preserve">Deob WP of WP24FRF32784
</text>
  </threadedComment>
  <threadedComment ref="I7" dT="2024-03-11T15:25:17.29" personId="{09AF92E4-A7B6-4906-A310-67AD283719DB}" id="{4DEE419D-17B6-40E2-972F-480400313D18}">
    <text>Danette M. Kluever:
Moved from BA3266 to BA3278 in SFY24</text>
  </threadedComment>
  <threadedComment ref="Q7" dT="2024-03-19T21:04:50.99" personId="{95BB7F7A-0291-4586-B313-38F0D4A0F522}" id="{A7AA26AD-12F1-41ED-B934-491FB876F5C7}">
    <text xml:space="preserve">Deob WP 24FRF32787
</text>
  </threadedComment>
  <threadedComment ref="I8" dT="2024-03-11T15:27:14.29" personId="{09AF92E4-A7B6-4906-A310-67AD283719DB}" id="{FC4F05AE-9D80-47AF-9D27-8EC7FA30870B}">
    <text>Danette M. Kluever:
Moved from BA3266 to BA3278 in SFY24</text>
  </threadedComment>
  <threadedComment ref="Q8" dT="2024-03-19T21:05:11.40" personId="{95BB7F7A-0291-4586-B313-38F0D4A0F522}" id="{9DB033EA-39DF-420B-A799-AA9F3F41B445}">
    <text xml:space="preserve">DeOb WP24FRF32786
</text>
  </threadedComment>
  <threadedComment ref="S9" dT="2026-02-24T21:10:39.22" personId="{F7CB1ED6-3621-4A47-BB13-B35178656780}" id="{58D7B941-033E-4369-B390-CCD4A6FB9282}">
    <text>WP26FRF32793 Partial DEOB $1,098,249.81 FEB IFC</text>
  </threadedComment>
  <threadedComment ref="S9" dT="2026-03-10T16:16:13.14" personId="{F7CB1ED6-3621-4A47-BB13-B35178656780}" id="{DB4B2DB8-E25B-47F2-8010-31A190601FD3}" parentId="{58D7B941-033E-4369-B390-CCD4A6FB9282}">
    <text>WP26FRF32794 Partial DEOB/Redirect $600,000 to 24CMH9A01 Campus for Hope APR IFC</text>
  </threadedComment>
  <threadedComment ref="I10" dT="2024-10-02T17:01:23.14" personId="{F7CB1ED6-3621-4A47-BB13-B35178656780}" id="{A78D8690-EC10-4096-87B8-C8506DA2D7B2}">
    <text>Change to BA3278 eff FY24, no Exp in FY23 to BA3266</text>
  </threadedComment>
  <threadedComment ref="I11" dT="2024-10-02T17:01:23.14" personId="{F7CB1ED6-3621-4A47-BB13-B35178656780}" id="{8E62C59A-B79C-46B4-B5AA-DC6D946EF7B1}">
    <text>Change to BA3278 eff FY24, no Exp in FY23 to BA3266</text>
  </threadedComment>
  <threadedComment ref="Q11" dT="2024-03-19T21:26:01.71" personId="{95BB7F7A-0291-4586-B313-38F0D4A0F522}" id="{CE0BA90A-972B-4556-A998-8B514C9A6B97}">
    <text xml:space="preserve">SFY 24 De-Ob #24FRF32785
</text>
  </threadedComment>
</ThreadedComments>
</file>

<file path=xl/threadedComments/threadedComment3.xml><?xml version="1.0" encoding="utf-8"?>
<ThreadedComments xmlns="http://schemas.microsoft.com/office/spreadsheetml/2018/threadedcomments" xmlns:x="http://schemas.openxmlformats.org/spreadsheetml/2006/main">
  <threadedComment ref="M11" dT="2024-03-06T22:48:42.06" personId="{09AF92E4-A7B6-4906-A310-67AD283719DB}" id="{B6C706A6-0E99-4BAB-A39B-5A2E7E5F867A}">
    <text>L01</text>
  </threadedComment>
  <threadedComment ref="P11" dT="2024-03-19T21:09:20.41" personId="{95BB7F7A-0291-4586-B313-38F0D4A0F522}" id="{F32EC043-1D68-4475-BBE6-2DE63D4FABF6}">
    <text xml:space="preserve">FY23 not spent and not balanced foward
</text>
  </threadedComment>
  <threadedComment ref="S12" dT="2026-01-15T17:15:23.48" personId="{F7CB1ED6-3621-4A47-BB13-B35178656780}" id="{5D09709F-72C7-468B-9E70-395B3365AD42}">
    <text>Deob $200,000 FEB26 IFC</text>
  </threadedComment>
</ThreadedComments>
</file>

<file path=xl/threadedComments/threadedComment4.xml><?xml version="1.0" encoding="utf-8"?>
<ThreadedComments xmlns="http://schemas.microsoft.com/office/spreadsheetml/2018/threadedcomments" xmlns:x="http://schemas.openxmlformats.org/spreadsheetml/2006/main">
  <threadedComment ref="P7" dT="2024-03-28T19:19:19.81" personId="{95BB7F7A-0291-4586-B313-38F0D4A0F522}" id="{D36C4251-C0B6-4D03-8D8A-E04AA48A2660}">
    <text xml:space="preserve">Pending Grant Realignment WP for $2,896,697 reduction in authority (DK)
</text>
  </threadedComment>
  <threadedComment ref="P7" dT="2024-03-28T19:20:52.49" personId="{95BB7F7A-0291-4586-B313-38F0D4A0F522}" id="{310AF013-A8CA-46AF-9C1D-DE6713E9F6F5}" parentId="{D36C4251-C0B6-4D03-8D8A-E04AA48A2660}">
    <text>$5,000,000 - transferred to DCFS under WP# 23FR314521</text>
  </threadedComment>
  <threadedComment ref="Q7" dT="2024-03-28T21:20:02.95" personId="{F7CB1ED6-3621-4A47-BB13-B35178656780}" id="{5536B21E-7F5B-4CDC-AB18-D6E9BA6D0E07}">
    <text xml:space="preserve">Agency Submitted DeOb for $2,896,697 that was signed off.  Agency sent email to the COVID19 mailbox Requesting to Retract DeOB.  Dan told Amy @ ARPA Admin Mtng 3.14.24 and she is checking with Jim Wells. </text>
  </threadedComment>
  <threadedComment ref="Q7" dT="2024-05-11T16:41:53.77" personId="{0C70FFA3-53A6-49C4-AEB6-3846F026DDDC}" id="{1CF9497E-CD27-4613-9728-14DF98D49BE2}" parentId="{5536B21E-7F5B-4CDC-AB18-D6E9BA6D0E07}">
    <text>$2.8 retracted but agency is giving up 1.9 per J. Wells. WP 24FR316504 (-903,303) combined with an L01 of 3,945,507 reduces the award by the 1.9 million.</text>
  </threadedComment>
  <threadedComment ref="Q7" dT="2024-05-17T23:21:56.56" personId="{95BB7F7A-0291-4586-B313-38F0D4A0F522}" id="{66CED25D-1588-436F-BC21-0A264F784CF8}" parentId="{5536B21E-7F5B-4CDC-AB18-D6E9BA6D0E07}">
    <text>WP #24FR316504 $903,303</text>
  </threadedComment>
  <threadedComment ref="S11" dT="2025-12-11T20:14:39.36" personId="{F7CB1ED6-3621-4A47-BB13-B35178656780}" id="{978E0249-114A-45DD-96F2-7491FB0A6D2C}">
    <text>Partial Deob $288,337.50 Transfer to Jail Based 24JBMHP01</text>
  </threadedComment>
  <threadedComment ref="O16" dT="2024-03-05T22:52:47.00" personId="{09AF92E4-A7B6-4906-A310-67AD283719DB}" id="{67CF34CC-64A3-4D11-A394-12771B331680}">
    <text>Deob WP 24FRF36453</text>
  </threadedComment>
  <threadedComment ref="Q16" dT="2024-05-17T20:13:05.74" personId="{95BB7F7A-0291-4586-B313-38F0D4A0F522}" id="{8A2544CC-7F3F-4D1F-A89E-F862354CD3A8}">
    <text xml:space="preserve">De-Obligation #24FR132776 $744,094 - June 2024 IFC </text>
  </threadedComment>
  <threadedComment ref="Q16" dT="2024-06-05T21:29:00.16" personId="{F7CB1ED6-3621-4A47-BB13-B35178656780}" id="{9A658359-976E-49B9-980A-BEF94A374700}" parentId="{8A2544CC-7F3F-4D1F-A89E-F862354CD3A8}">
    <text>Agency De-Ob WP# 24FRF36454</text>
  </threadedComment>
  <threadedComment ref="L17" dT="2025-10-01T18:07:41.58" personId="{F7CB1ED6-3621-4A47-BB13-B35178656780}" id="{E6441286-4FB9-4623-B37D-3F83FCDBED0F}">
    <text>Supplemental#1=$2,939,148 &amp; Supplemental #2 =$221,588.96 Supplemental #3= $530,360.14</text>
  </threadedComment>
  <threadedComment ref="L17" dT="2025-12-18T23:29:40.86" personId="{F7CB1ED6-3621-4A47-BB13-B35178656780}" id="{DF5089C6-AF3E-4CB0-AC35-5B4F00B39ABE}" parentId="{E6441286-4FB9-4623-B37D-3F83FCDBED0F}">
    <text>Supplemental #2+#3 = $751,950.10 26FRF31613 FEB-IFC</text>
  </threadedComment>
  <threadedComment ref="Q18" dT="2024-05-17T20:15:06.67" personId="{95BB7F7A-0291-4586-B313-38F0D4A0F522}" id="{80FF4E0A-1B10-4BF1-8EB7-7996212A3AB8}">
    <text xml:space="preserve">WP#24FR132777 De-Obligation $2,070,848 June 2024 IFC </text>
  </threadedComment>
  <threadedComment ref="Q18" dT="2024-06-05T21:38:43.21" personId="{F7CB1ED6-3621-4A47-BB13-B35178656780}" id="{25AD4906-3745-40CA-A9C6-DF4CD7A4A5E7}" parentId="{80FF4E0A-1B10-4BF1-8EB7-7996212A3AB8}">
    <text>Agency De-Ob WP#24FRF31618 - Revised to $593,974</text>
  </threadedComment>
  <threadedComment ref="U18" dT="2024-05-17T22:11:42.56" personId="{95BB7F7A-0291-4586-B313-38F0D4A0F522}" id="{9A22F77E-0695-4AC4-971F-24AE0BC49E78}">
    <text xml:space="preserve">WP#24FRF31618 June 2024 IFC </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galloway@finance.nv.gov" TargetMode="External"/><Relationship Id="rId1" Type="http://schemas.openxmlformats.org/officeDocument/2006/relationships/hyperlink" Target="mailto:covid19@finance.nv.gov"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9/04/relationships/namedSheetView" Target="../namedSheetViews/namedSheetView1.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FC570-1884-4914-AA19-1E30242E1614}">
  <sheetPr>
    <pageSetUpPr fitToPage="1"/>
  </sheetPr>
  <dimension ref="A1:AE24"/>
  <sheetViews>
    <sheetView topLeftCell="A9" workbookViewId="0">
      <selection activeCell="N11" sqref="N11"/>
    </sheetView>
  </sheetViews>
  <sheetFormatPr defaultRowHeight="14.4" x14ac:dyDescent="0.3"/>
  <cols>
    <col min="1" max="1" width="5.44140625" customWidth="1"/>
    <col min="7" max="7" width="11.6640625" customWidth="1"/>
    <col min="8" max="8" width="16" bestFit="1" customWidth="1"/>
    <col min="9" max="11" width="13.44140625" customWidth="1"/>
    <col min="12" max="12" width="16.44140625" customWidth="1"/>
  </cols>
  <sheetData>
    <row r="1" spans="1:31" ht="18" x14ac:dyDescent="0.35">
      <c r="A1" s="139" t="s">
        <v>0</v>
      </c>
      <c r="B1" s="140"/>
      <c r="C1" s="140"/>
      <c r="D1" s="140"/>
      <c r="E1" s="140"/>
      <c r="F1" s="140"/>
      <c r="G1" s="141"/>
      <c r="I1" s="20" t="s">
        <v>1</v>
      </c>
      <c r="J1" s="136">
        <v>46191</v>
      </c>
      <c r="K1" s="136"/>
      <c r="L1" s="37"/>
    </row>
    <row r="2" spans="1:31" ht="15.6" x14ac:dyDescent="0.3">
      <c r="A2" s="142"/>
      <c r="B2" s="143"/>
      <c r="C2" s="143"/>
      <c r="D2" s="143"/>
      <c r="E2" s="143"/>
      <c r="F2" s="143"/>
      <c r="G2" s="144"/>
      <c r="I2" s="39" t="s">
        <v>2</v>
      </c>
      <c r="J2" s="21"/>
      <c r="K2" s="38" t="s">
        <v>3</v>
      </c>
      <c r="L2" s="22">
        <v>46387</v>
      </c>
    </row>
    <row r="3" spans="1:31" ht="21.6" thickBot="1" x14ac:dyDescent="0.45">
      <c r="A3" s="145"/>
      <c r="B3" s="146"/>
      <c r="C3" s="146"/>
      <c r="D3" s="146"/>
      <c r="E3" s="146"/>
      <c r="F3" s="146"/>
      <c r="G3" s="147"/>
      <c r="I3" s="137" t="s">
        <v>4</v>
      </c>
      <c r="J3" s="138"/>
      <c r="K3" s="134" t="str">
        <f>DATEDIF(J1,L2,"m") &amp; " months " &amp; DATEDIF(J1,L2,"md") &amp; " days"</f>
        <v>6 months 13 days</v>
      </c>
      <c r="L3" s="135"/>
    </row>
    <row r="5" spans="1:31" s="26" customFormat="1" ht="15.6" x14ac:dyDescent="0.3">
      <c r="G5" s="36" t="s">
        <v>5</v>
      </c>
      <c r="H5" s="23">
        <v>46168</v>
      </c>
    </row>
    <row r="6" spans="1:31" s="26" customFormat="1" ht="15.6" x14ac:dyDescent="0.3"/>
    <row r="7" spans="1:31" s="26" customFormat="1" ht="15.6" x14ac:dyDescent="0.3">
      <c r="D7" s="27"/>
      <c r="E7" s="27"/>
      <c r="F7" s="27"/>
      <c r="G7" s="25" t="s">
        <v>6</v>
      </c>
      <c r="H7" s="24">
        <v>46175</v>
      </c>
    </row>
    <row r="8" spans="1:31" s="26" customFormat="1" ht="15.6" x14ac:dyDescent="0.3"/>
    <row r="9" spans="1:31" s="28" customFormat="1" ht="15.6" x14ac:dyDescent="0.3">
      <c r="A9" s="28" t="s">
        <v>7</v>
      </c>
    </row>
    <row r="10" spans="1:31" s="26" customFormat="1" ht="15.6" x14ac:dyDescent="0.3"/>
    <row r="11" spans="1:31" s="26" customFormat="1" ht="22.5" customHeight="1" x14ac:dyDescent="0.3">
      <c r="A11" s="29" t="s">
        <v>8</v>
      </c>
    </row>
    <row r="12" spans="1:31" s="26" customFormat="1" ht="22.5" customHeight="1" x14ac:dyDescent="0.3">
      <c r="B12" s="30" t="s">
        <v>9</v>
      </c>
    </row>
    <row r="13" spans="1:31" s="26" customFormat="1" ht="22.5" customHeight="1" x14ac:dyDescent="0.3">
      <c r="B13" s="30" t="s">
        <v>10</v>
      </c>
    </row>
    <row r="14" spans="1:31" s="26" customFormat="1" ht="22.5" customHeight="1" x14ac:dyDescent="0.3">
      <c r="B14" s="30" t="s">
        <v>11</v>
      </c>
    </row>
    <row r="15" spans="1:31" s="26" customFormat="1" ht="22.5" customHeight="1" x14ac:dyDescent="0.3">
      <c r="B15" s="30" t="s">
        <v>12</v>
      </c>
    </row>
    <row r="16" spans="1:31" s="26" customFormat="1" ht="22.5" customHeight="1" x14ac:dyDescent="0.3">
      <c r="B16" s="53" t="s">
        <v>13</v>
      </c>
      <c r="C16" s="27"/>
      <c r="D16" s="27"/>
      <c r="E16" s="27"/>
      <c r="F16" s="27"/>
      <c r="G16" s="27"/>
      <c r="H16" s="52" t="s">
        <v>14</v>
      </c>
      <c r="I16" s="27"/>
      <c r="J16" s="27"/>
      <c r="K16" s="27"/>
      <c r="L16" s="27"/>
      <c r="M16" s="27"/>
      <c r="N16" s="27"/>
      <c r="O16" s="27"/>
      <c r="P16" s="27"/>
      <c r="Q16" s="27"/>
      <c r="R16" s="27"/>
      <c r="S16" s="27"/>
      <c r="T16" s="27"/>
      <c r="U16" s="27"/>
      <c r="V16" s="27"/>
      <c r="W16" s="27"/>
      <c r="X16" s="27"/>
      <c r="Y16" s="27"/>
      <c r="Z16" s="27"/>
      <c r="AA16" s="27"/>
      <c r="AB16" s="27"/>
      <c r="AC16" s="27"/>
      <c r="AD16" s="27"/>
      <c r="AE16" s="27"/>
    </row>
    <row r="17" spans="1:8" s="26" customFormat="1" ht="22.5" customHeight="1" x14ac:dyDescent="0.3">
      <c r="B17" s="30"/>
      <c r="H17" s="51"/>
    </row>
    <row r="18" spans="1:8" s="21" customFormat="1" ht="22.5" customHeight="1" x14ac:dyDescent="0.3">
      <c r="A18" s="31" t="s">
        <v>15</v>
      </c>
    </row>
    <row r="19" spans="1:8" s="26" customFormat="1" ht="22.5" customHeight="1" x14ac:dyDescent="0.3">
      <c r="A19" s="32" t="s">
        <v>16</v>
      </c>
    </row>
    <row r="20" spans="1:8" s="26" customFormat="1" ht="22.5" customHeight="1" x14ac:dyDescent="0.3">
      <c r="A20" s="29" t="s">
        <v>17</v>
      </c>
    </row>
    <row r="21" spans="1:8" s="26" customFormat="1" ht="22.5" customHeight="1" x14ac:dyDescent="0.3">
      <c r="A21" s="29" t="s">
        <v>18</v>
      </c>
    </row>
    <row r="22" spans="1:8" s="26" customFormat="1" ht="22.5" customHeight="1" x14ac:dyDescent="0.3">
      <c r="A22" s="33" t="s">
        <v>19</v>
      </c>
    </row>
    <row r="23" spans="1:8" s="26" customFormat="1" ht="22.5" customHeight="1" x14ac:dyDescent="0.3">
      <c r="A23" s="34"/>
    </row>
    <row r="24" spans="1:8" s="26" customFormat="1" ht="22.5" customHeight="1" x14ac:dyDescent="0.3">
      <c r="A24" s="35" t="s">
        <v>20</v>
      </c>
    </row>
  </sheetData>
  <mergeCells count="4">
    <mergeCell ref="K3:L3"/>
    <mergeCell ref="J1:K1"/>
    <mergeCell ref="I3:J3"/>
    <mergeCell ref="A1:G3"/>
  </mergeCells>
  <hyperlinks>
    <hyperlink ref="A22" r:id="rId1" display="mailto:covid19@finance.nv.gov" xr:uid="{BCC31BFB-1C29-4895-8F9C-4F252E647160}"/>
    <hyperlink ref="A24" r:id="rId2" display="mailto:lgalloway@finance.nv.gov" xr:uid="{A58F964B-3E42-4110-A4A0-5540F6232A16}"/>
  </hyperlinks>
  <pageMargins left="0.25" right="0.25" top="0.75" bottom="0.75" header="0.3" footer="0.3"/>
  <pageSetup scale="56" fitToHeight="0" orientation="landscape"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CDCCD-01EB-47BA-9913-31A15E1CD225}">
  <sheetPr codeName="Sheet239">
    <tabColor rgb="FFFFFF00"/>
    <pageSetUpPr fitToPage="1"/>
  </sheetPr>
  <dimension ref="A1:AT44"/>
  <sheetViews>
    <sheetView tabSelected="1" zoomScaleNormal="100" workbookViewId="0">
      <pane xSplit="3" ySplit="3" topLeftCell="AM41" activePane="bottomRight" state="frozen"/>
      <selection pane="topRight" activeCell="H2" sqref="H2"/>
      <selection pane="bottomLeft" activeCell="A3" sqref="A3"/>
      <selection pane="bottomRight" activeCell="AQ42" sqref="AQ42"/>
    </sheetView>
  </sheetViews>
  <sheetFormatPr defaultColWidth="9.44140625" defaultRowHeight="14.4" x14ac:dyDescent="0.3"/>
  <cols>
    <col min="1" max="1" width="8.33203125" customWidth="1"/>
    <col min="2" max="2" width="7.6640625" customWidth="1"/>
    <col min="3" max="3" width="15.5546875" style="47" bestFit="1" customWidth="1"/>
    <col min="4" max="4" width="12.6640625" customWidth="1"/>
    <col min="5" max="5" width="15.6640625" style="16" customWidth="1"/>
    <col min="6" max="6" width="31.5546875" style="19" customWidth="1"/>
    <col min="7" max="7" width="11" customWidth="1"/>
    <col min="8" max="8" width="11.109375" customWidth="1"/>
    <col min="9" max="9" width="7.88671875" customWidth="1"/>
    <col min="10" max="10" width="8" customWidth="1"/>
    <col min="11" max="11" width="16.109375" hidden="1" customWidth="1"/>
    <col min="12" max="12" width="16.88671875" hidden="1" customWidth="1"/>
    <col min="13" max="13" width="14.5546875" hidden="1" customWidth="1"/>
    <col min="14" max="14" width="17.88671875" style="17" customWidth="1"/>
    <col min="15" max="16" width="16.109375" hidden="1" customWidth="1"/>
    <col min="17" max="17" width="16.109375" style="14" hidden="1" customWidth="1"/>
    <col min="18" max="19" width="16.109375" hidden="1" customWidth="1"/>
    <col min="20" max="20" width="15.5546875" hidden="1" customWidth="1"/>
    <col min="21" max="21" width="15" customWidth="1"/>
    <col min="22" max="22" width="17.6640625" customWidth="1"/>
    <col min="23" max="23" width="12.44140625" hidden="1" customWidth="1"/>
    <col min="24" max="25" width="16.33203125" hidden="1" customWidth="1"/>
    <col min="26" max="26" width="16" hidden="1" customWidth="1"/>
    <col min="27" max="27" width="14.5546875" hidden="1" customWidth="1"/>
    <col min="28" max="28" width="15.33203125" hidden="1" customWidth="1"/>
    <col min="29" max="29" width="10.109375" hidden="1" customWidth="1"/>
    <col min="30" max="30" width="18.109375" customWidth="1"/>
    <col min="31" max="31" width="16.88671875" bestFit="1" customWidth="1"/>
    <col min="32" max="32" width="9.44140625" style="15"/>
    <col min="33" max="45" width="17.44140625" customWidth="1"/>
    <col min="46" max="46" width="39.33203125" style="19" customWidth="1"/>
  </cols>
  <sheetData>
    <row r="1" spans="1:46" s="42" customFormat="1" ht="20.25" customHeight="1" thickBot="1" x14ac:dyDescent="0.35">
      <c r="C1" s="40"/>
      <c r="E1" s="79"/>
      <c r="F1" s="80"/>
      <c r="N1" s="50">
        <f t="shared" ref="N1:AE1" si="0">N43</f>
        <v>309617044.10000002</v>
      </c>
      <c r="O1" s="50">
        <f t="shared" si="0"/>
        <v>660000</v>
      </c>
      <c r="P1" s="50">
        <f t="shared" si="0"/>
        <v>5401607</v>
      </c>
      <c r="Q1" s="50">
        <f t="shared" si="0"/>
        <v>8026445</v>
      </c>
      <c r="R1" s="50">
        <f t="shared" si="0"/>
        <v>10467738.4</v>
      </c>
      <c r="S1" s="50">
        <f t="shared" si="0"/>
        <v>2186587.5</v>
      </c>
      <c r="T1" s="50">
        <f t="shared" si="0"/>
        <v>0</v>
      </c>
      <c r="U1" s="50">
        <f t="shared" si="0"/>
        <v>26742377.899999999</v>
      </c>
      <c r="V1" s="50">
        <f t="shared" si="0"/>
        <v>282874666.19999999</v>
      </c>
      <c r="W1" s="50">
        <f t="shared" si="0"/>
        <v>0</v>
      </c>
      <c r="X1" s="50">
        <f t="shared" si="0"/>
        <v>422.52</v>
      </c>
      <c r="Y1" s="50">
        <f t="shared" si="0"/>
        <v>18899694.080000002</v>
      </c>
      <c r="Z1" s="50">
        <f t="shared" si="0"/>
        <v>50461449.5</v>
      </c>
      <c r="AA1" s="50">
        <f t="shared" si="0"/>
        <v>73796126.670000002</v>
      </c>
      <c r="AB1" s="50">
        <f t="shared" si="0"/>
        <v>70753607.530000001</v>
      </c>
      <c r="AC1" s="50">
        <f t="shared" si="0"/>
        <v>0</v>
      </c>
      <c r="AD1" s="50">
        <f t="shared" si="0"/>
        <v>213911300.29999998</v>
      </c>
      <c r="AE1" s="50">
        <f t="shared" si="0"/>
        <v>68963365.899999991</v>
      </c>
      <c r="AF1" s="5"/>
      <c r="AQ1" s="50">
        <f>AQ43</f>
        <v>68440729.530000001</v>
      </c>
      <c r="AT1" s="80"/>
    </row>
    <row r="2" spans="1:46" s="1" customFormat="1" ht="18.600000000000001" thickBot="1" x14ac:dyDescent="0.3">
      <c r="C2" s="40"/>
      <c r="E2" s="2"/>
      <c r="F2" s="41"/>
      <c r="K2" s="3" t="e">
        <f>#REF!</f>
        <v>#REF!</v>
      </c>
      <c r="L2" s="3" t="e">
        <f>#REF!</f>
        <v>#REF!</v>
      </c>
      <c r="M2" s="3" t="e">
        <f>#REF!</f>
        <v>#REF!</v>
      </c>
      <c r="N2" s="4"/>
      <c r="O2" s="3"/>
      <c r="P2" s="3"/>
      <c r="Q2" s="3"/>
      <c r="R2" s="3"/>
      <c r="S2" s="3"/>
      <c r="T2" s="3"/>
      <c r="U2" s="3"/>
      <c r="V2" s="3"/>
      <c r="W2" s="3">
        <f t="shared" ref="W2:AC2" si="1">SUM(W4:W42)</f>
        <v>0</v>
      </c>
      <c r="X2" s="3">
        <f t="shared" si="1"/>
        <v>422.52</v>
      </c>
      <c r="Y2" s="3">
        <f t="shared" si="1"/>
        <v>18899694.080000002</v>
      </c>
      <c r="Z2" s="3">
        <f t="shared" si="1"/>
        <v>50461449.5</v>
      </c>
      <c r="AA2" s="3">
        <f t="shared" si="1"/>
        <v>73796126.670000002</v>
      </c>
      <c r="AB2" s="3">
        <f t="shared" si="1"/>
        <v>70753607.530000001</v>
      </c>
      <c r="AC2" s="3">
        <f t="shared" si="1"/>
        <v>0</v>
      </c>
      <c r="AD2" s="129" t="s">
        <v>21</v>
      </c>
      <c r="AE2" s="130"/>
      <c r="AF2" s="5"/>
      <c r="AG2" s="131" t="s">
        <v>22</v>
      </c>
      <c r="AH2" s="132"/>
      <c r="AI2" s="132"/>
      <c r="AJ2" s="132"/>
      <c r="AK2" s="132"/>
      <c r="AL2" s="132"/>
      <c r="AM2" s="132"/>
      <c r="AN2" s="132"/>
      <c r="AO2" s="132"/>
      <c r="AP2" s="132"/>
      <c r="AQ2" s="132"/>
      <c r="AR2" s="133"/>
      <c r="AS2" s="48"/>
      <c r="AT2" s="49"/>
    </row>
    <row r="3" spans="1:46" ht="83.4" thickBot="1" x14ac:dyDescent="0.35">
      <c r="A3" s="85" t="s">
        <v>23</v>
      </c>
      <c r="B3" s="86" t="s">
        <v>24</v>
      </c>
      <c r="C3" s="87" t="s">
        <v>25</v>
      </c>
      <c r="D3" s="88" t="s">
        <v>26</v>
      </c>
      <c r="E3" s="89" t="s">
        <v>27</v>
      </c>
      <c r="F3" s="90" t="s">
        <v>28</v>
      </c>
      <c r="G3" s="91" t="s">
        <v>29</v>
      </c>
      <c r="H3" s="91" t="s">
        <v>30</v>
      </c>
      <c r="I3" s="91" t="s">
        <v>31</v>
      </c>
      <c r="J3" s="91" t="s">
        <v>32</v>
      </c>
      <c r="K3" s="18" t="s">
        <v>33</v>
      </c>
      <c r="L3" s="92" t="s">
        <v>34</v>
      </c>
      <c r="M3" s="18" t="s">
        <v>35</v>
      </c>
      <c r="N3" s="18" t="s">
        <v>36</v>
      </c>
      <c r="O3" s="93" t="s">
        <v>37</v>
      </c>
      <c r="P3" s="93" t="s">
        <v>38</v>
      </c>
      <c r="Q3" s="93" t="s">
        <v>39</v>
      </c>
      <c r="R3" s="93" t="s">
        <v>40</v>
      </c>
      <c r="S3" s="93" t="s">
        <v>41</v>
      </c>
      <c r="T3" s="93" t="s">
        <v>42</v>
      </c>
      <c r="U3" s="93" t="s">
        <v>43</v>
      </c>
      <c r="V3" s="94" t="s">
        <v>44</v>
      </c>
      <c r="W3" s="95" t="s">
        <v>45</v>
      </c>
      <c r="X3" s="95" t="s">
        <v>46</v>
      </c>
      <c r="Y3" s="96" t="s">
        <v>47</v>
      </c>
      <c r="Z3" s="96" t="s">
        <v>48</v>
      </c>
      <c r="AA3" s="96" t="s">
        <v>49</v>
      </c>
      <c r="AB3" s="95" t="s">
        <v>50</v>
      </c>
      <c r="AC3" s="95" t="s">
        <v>51</v>
      </c>
      <c r="AD3" s="97" t="s">
        <v>52</v>
      </c>
      <c r="AE3" s="98" t="s">
        <v>53</v>
      </c>
      <c r="AF3" s="99" t="s">
        <v>54</v>
      </c>
      <c r="AG3" s="100" t="s">
        <v>55</v>
      </c>
      <c r="AH3" s="101">
        <v>46158</v>
      </c>
      <c r="AI3" s="101">
        <f t="shared" ref="AI3:AO3" si="2">AH3+30</f>
        <v>46188</v>
      </c>
      <c r="AJ3" s="101">
        <f t="shared" si="2"/>
        <v>46218</v>
      </c>
      <c r="AK3" s="101">
        <f t="shared" si="2"/>
        <v>46248</v>
      </c>
      <c r="AL3" s="101">
        <f t="shared" si="2"/>
        <v>46278</v>
      </c>
      <c r="AM3" s="101">
        <f t="shared" si="2"/>
        <v>46308</v>
      </c>
      <c r="AN3" s="101">
        <f t="shared" si="2"/>
        <v>46338</v>
      </c>
      <c r="AO3" s="101">
        <f t="shared" si="2"/>
        <v>46368</v>
      </c>
      <c r="AP3" s="100" t="s">
        <v>56</v>
      </c>
      <c r="AQ3" s="100" t="s">
        <v>57</v>
      </c>
      <c r="AR3" s="100" t="s">
        <v>58</v>
      </c>
      <c r="AS3" s="102" t="s">
        <v>59</v>
      </c>
      <c r="AT3" s="103" t="s">
        <v>60</v>
      </c>
    </row>
    <row r="4" spans="1:46" ht="100.8" x14ac:dyDescent="0.3">
      <c r="A4" s="43" t="s">
        <v>61</v>
      </c>
      <c r="B4" s="43" t="s">
        <v>62</v>
      </c>
      <c r="C4" s="56" t="s">
        <v>67</v>
      </c>
      <c r="D4" s="6" t="s">
        <v>68</v>
      </c>
      <c r="E4" s="6" t="s">
        <v>65</v>
      </c>
      <c r="F4" s="44" t="s">
        <v>69</v>
      </c>
      <c r="G4" s="7">
        <v>44854</v>
      </c>
      <c r="H4" s="7">
        <v>46387</v>
      </c>
      <c r="I4" s="12">
        <v>3195</v>
      </c>
      <c r="J4" s="9">
        <v>39</v>
      </c>
      <c r="K4" s="11">
        <v>15000000</v>
      </c>
      <c r="L4" s="10"/>
      <c r="M4" s="10"/>
      <c r="N4" s="10">
        <f t="shared" ref="N4:N42" si="3">SUM(K4:M4)</f>
        <v>15000000</v>
      </c>
      <c r="O4" s="10"/>
      <c r="P4" s="10"/>
      <c r="Q4" s="10"/>
      <c r="R4" s="10"/>
      <c r="S4" s="10"/>
      <c r="T4" s="10"/>
      <c r="U4" s="10">
        <f t="shared" ref="U4:U42" si="4">SUM(O4:T4)</f>
        <v>0</v>
      </c>
      <c r="V4" s="11">
        <f t="shared" ref="V4:V42" si="5">K4-U4+L4+M4</f>
        <v>15000000</v>
      </c>
      <c r="W4" s="10"/>
      <c r="X4" s="10"/>
      <c r="Y4" s="10">
        <v>620663.74</v>
      </c>
      <c r="Z4" s="10">
        <v>7583393.6699999999</v>
      </c>
      <c r="AA4" s="10">
        <v>2526979.11</v>
      </c>
      <c r="AB4" s="10">
        <v>3652695.4899999998</v>
      </c>
      <c r="AC4" s="10"/>
      <c r="AD4" s="10">
        <f t="shared" ref="AD4:AD37" si="6">SUM(W4:AC4)</f>
        <v>14383732.01</v>
      </c>
      <c r="AE4" s="10">
        <f t="shared" ref="AE4:AE42" si="7">V4-AD4</f>
        <v>616267.99000000022</v>
      </c>
      <c r="AF4" s="45">
        <f t="shared" ref="AF4:AF36" si="8">AD4/V4</f>
        <v>0.95891546733333333</v>
      </c>
      <c r="AG4" s="106">
        <f>'DHHS-DO'!AG4</f>
        <v>0</v>
      </c>
      <c r="AH4" s="106">
        <f>'DHHS-DO'!AH4</f>
        <v>107717</v>
      </c>
      <c r="AI4" s="106">
        <f>'DHHS-DO'!AI4</f>
        <v>97717</v>
      </c>
      <c r="AJ4" s="106">
        <f>'DHHS-DO'!AJ4</f>
        <v>97717</v>
      </c>
      <c r="AK4" s="106">
        <f>'DHHS-DO'!AK4</f>
        <v>97717</v>
      </c>
      <c r="AL4" s="106">
        <f>'DHHS-DO'!AL4</f>
        <v>97717</v>
      </c>
      <c r="AM4" s="106">
        <f>'DHHS-DO'!AM4</f>
        <v>97717</v>
      </c>
      <c r="AN4" s="106">
        <f>'DHHS-DO'!AN4</f>
        <v>19965.990000000002</v>
      </c>
      <c r="AO4" s="106">
        <f>'DHHS-DO'!AO4</f>
        <v>0</v>
      </c>
      <c r="AP4" s="106">
        <f>'DHHS-DO'!AP4</f>
        <v>0</v>
      </c>
      <c r="AQ4" s="105">
        <f t="shared" ref="AQ4:AQ34" si="9">SUM(AG4:AP4)</f>
        <v>616267.99</v>
      </c>
      <c r="AR4" s="105">
        <f t="shared" ref="AR4:AR34" si="10">AQ4-AE4</f>
        <v>0</v>
      </c>
      <c r="AS4" s="104" t="str">
        <f>'DHHS-DO'!AS4</f>
        <v>On-Track</v>
      </c>
      <c r="AT4" s="116" t="str">
        <f>'DHHS-DO'!AT4</f>
        <v xml:space="preserve">Renown is currently moving forward scheduling transplant #6 and they are awaiting CMS for the accrediting survey.
NDN Donor Care Unit at 1050 E. Sahara Ave., has experienced a minor delay in consturction but is expected to be completed in 30 days. </v>
      </c>
    </row>
    <row r="5" spans="1:46" ht="25.2" x14ac:dyDescent="0.3">
      <c r="A5" s="43" t="s">
        <v>70</v>
      </c>
      <c r="B5" s="43" t="s">
        <v>62</v>
      </c>
      <c r="C5" s="56" t="s">
        <v>63</v>
      </c>
      <c r="D5" s="6" t="s">
        <v>64</v>
      </c>
      <c r="E5" s="6" t="s">
        <v>65</v>
      </c>
      <c r="F5" s="44" t="s">
        <v>66</v>
      </c>
      <c r="G5" s="7">
        <v>44854</v>
      </c>
      <c r="H5" s="7">
        <v>46203</v>
      </c>
      <c r="I5" s="12">
        <v>3276</v>
      </c>
      <c r="J5" s="9">
        <v>40</v>
      </c>
      <c r="K5" s="11">
        <v>368100</v>
      </c>
      <c r="L5" s="10"/>
      <c r="M5" s="10"/>
      <c r="N5" s="10">
        <f t="shared" si="3"/>
        <v>368100</v>
      </c>
      <c r="O5" s="10"/>
      <c r="P5" s="10"/>
      <c r="Q5" s="10"/>
      <c r="R5" s="10">
        <v>13339.4</v>
      </c>
      <c r="S5" s="10"/>
      <c r="T5" s="10"/>
      <c r="U5" s="10">
        <f t="shared" si="4"/>
        <v>13339.4</v>
      </c>
      <c r="V5" s="11">
        <f t="shared" si="5"/>
        <v>354760.6</v>
      </c>
      <c r="W5" s="10"/>
      <c r="X5" s="10"/>
      <c r="Y5" s="10">
        <v>16749.46</v>
      </c>
      <c r="Z5" s="10">
        <v>69421.2</v>
      </c>
      <c r="AA5" s="10">
        <v>155690.70000000001</v>
      </c>
      <c r="AB5" s="10">
        <v>88333.329999999987</v>
      </c>
      <c r="AC5" s="10"/>
      <c r="AD5" s="10">
        <f t="shared" si="6"/>
        <v>330194.69</v>
      </c>
      <c r="AE5" s="10">
        <f t="shared" si="7"/>
        <v>24565.909999999974</v>
      </c>
      <c r="AF5" s="45">
        <f t="shared" si="8"/>
        <v>0.93075355606005861</v>
      </c>
      <c r="AG5" s="106">
        <f>ADSD!AG4</f>
        <v>6836.4</v>
      </c>
      <c r="AH5" s="106">
        <f>ADSD!AH4</f>
        <v>9115.2000000000007</v>
      </c>
      <c r="AI5" s="106">
        <f>ADSD!AI4</f>
        <v>8614.31</v>
      </c>
      <c r="AJ5" s="107"/>
      <c r="AK5" s="107"/>
      <c r="AL5" s="107"/>
      <c r="AM5" s="107"/>
      <c r="AN5" s="107"/>
      <c r="AO5" s="107"/>
      <c r="AP5" s="107"/>
      <c r="AQ5" s="105">
        <f>SUM(AG5:AP5)</f>
        <v>24565.91</v>
      </c>
      <c r="AR5" s="105">
        <f>AQ5-AE5</f>
        <v>0</v>
      </c>
      <c r="AS5" s="104" t="str">
        <f>ADSD!AS4</f>
        <v>On Track</v>
      </c>
      <c r="AT5" s="116" t="str">
        <f>ADSD!AT4</f>
        <v>Temporary contractor thorugh Manpower, Business Productivity Suite, and educational materials. The contractor will be compensated using the remaining project funds until those funds are fully exhausted.</v>
      </c>
    </row>
    <row r="6" spans="1:46" ht="25.2" x14ac:dyDescent="0.3">
      <c r="A6" s="43" t="s">
        <v>70</v>
      </c>
      <c r="B6" s="43" t="s">
        <v>71</v>
      </c>
      <c r="C6" s="56" t="s">
        <v>72</v>
      </c>
      <c r="D6" s="6" t="s">
        <v>73</v>
      </c>
      <c r="E6" s="6" t="s">
        <v>65</v>
      </c>
      <c r="F6" s="44" t="s">
        <v>74</v>
      </c>
      <c r="G6" s="7">
        <v>45330</v>
      </c>
      <c r="H6" s="7">
        <v>46387</v>
      </c>
      <c r="I6" s="12">
        <v>3151</v>
      </c>
      <c r="J6" s="9">
        <v>41</v>
      </c>
      <c r="K6" s="11">
        <v>7500000</v>
      </c>
      <c r="L6" s="10"/>
      <c r="M6" s="10"/>
      <c r="N6" s="10">
        <f t="shared" si="3"/>
        <v>7500000</v>
      </c>
      <c r="O6" s="10"/>
      <c r="P6" s="10"/>
      <c r="Q6" s="10"/>
      <c r="R6" s="10"/>
      <c r="S6" s="10"/>
      <c r="T6" s="10"/>
      <c r="U6" s="10">
        <f t="shared" si="4"/>
        <v>0</v>
      </c>
      <c r="V6" s="11">
        <f t="shared" si="5"/>
        <v>7500000</v>
      </c>
      <c r="W6" s="10"/>
      <c r="X6" s="10"/>
      <c r="Y6" s="10">
        <v>55865</v>
      </c>
      <c r="Z6" s="10">
        <v>367393.98</v>
      </c>
      <c r="AA6" s="10">
        <v>3197831.0700000003</v>
      </c>
      <c r="AB6" s="10">
        <v>2033533.08</v>
      </c>
      <c r="AC6" s="10"/>
      <c r="AD6" s="10">
        <f t="shared" si="6"/>
        <v>5654623.1300000008</v>
      </c>
      <c r="AE6" s="10">
        <f t="shared" si="7"/>
        <v>1845376.8699999992</v>
      </c>
      <c r="AF6" s="45">
        <f t="shared" si="8"/>
        <v>0.75394975066666681</v>
      </c>
      <c r="AG6" s="106">
        <f>ADSD!AG5</f>
        <v>0</v>
      </c>
      <c r="AH6" s="106">
        <f>ADSD!AH5</f>
        <v>249747.5</v>
      </c>
      <c r="AI6" s="106">
        <f>ADSD!AI5</f>
        <v>249747.5</v>
      </c>
      <c r="AJ6" s="106">
        <f>ADSD!AJ5</f>
        <v>487147.5</v>
      </c>
      <c r="AK6" s="106">
        <f>ADSD!AK5</f>
        <v>249747.5</v>
      </c>
      <c r="AL6" s="106">
        <f>ADSD!AL5</f>
        <v>232179.33000000002</v>
      </c>
      <c r="AM6" s="106">
        <f>ADSD!AM5</f>
        <v>220347.5</v>
      </c>
      <c r="AN6" s="106">
        <f>ADSD!AN5</f>
        <v>156460.04</v>
      </c>
      <c r="AO6" s="106">
        <f>ADSD!AO5</f>
        <v>0</v>
      </c>
      <c r="AP6" s="106">
        <f>ADSD!AP5</f>
        <v>0</v>
      </c>
      <c r="AQ6" s="105">
        <f t="shared" si="9"/>
        <v>1845376.87</v>
      </c>
      <c r="AR6" s="105">
        <f t="shared" si="10"/>
        <v>0</v>
      </c>
      <c r="AS6" s="104" t="str">
        <f>ADSD!AS5</f>
        <v>On Track</v>
      </c>
      <c r="AT6" s="116" t="str">
        <f>ADSD!AT5</f>
        <v>Note that the end date in this file was incorrect.  NOA says 12/31/2026. Projection methodology:
- Guidesoft Inc MSA Contractors  based on monthly average through May - June 2026, with and increase in Julty for the start of hte year and reduced hours for Aug -Nov. 2026. 
- O365 based on monthly average costs.
- Insight Public Sector based on contract deliverables.
- Wellsky based on contract deliverables.</v>
      </c>
    </row>
    <row r="7" spans="1:46" x14ac:dyDescent="0.3">
      <c r="A7" s="43" t="s">
        <v>70</v>
      </c>
      <c r="B7" s="43" t="s">
        <v>71</v>
      </c>
      <c r="C7" s="56" t="s">
        <v>75</v>
      </c>
      <c r="D7" s="6" t="s">
        <v>73</v>
      </c>
      <c r="E7" s="6" t="s">
        <v>65</v>
      </c>
      <c r="F7" s="44" t="s">
        <v>76</v>
      </c>
      <c r="G7" s="7">
        <v>44854</v>
      </c>
      <c r="H7" s="7">
        <v>46387</v>
      </c>
      <c r="I7" s="12">
        <v>3278</v>
      </c>
      <c r="J7" s="9">
        <v>62</v>
      </c>
      <c r="K7" s="11">
        <v>5000000</v>
      </c>
      <c r="L7" s="10"/>
      <c r="M7" s="10"/>
      <c r="N7" s="10">
        <f t="shared" si="3"/>
        <v>5000000</v>
      </c>
      <c r="O7" s="10">
        <v>0</v>
      </c>
      <c r="P7" s="10"/>
      <c r="Q7" s="10">
        <v>2000000</v>
      </c>
      <c r="R7" s="10"/>
      <c r="S7" s="10"/>
      <c r="T7" s="10"/>
      <c r="U7" s="10">
        <f t="shared" si="4"/>
        <v>2000000</v>
      </c>
      <c r="V7" s="11">
        <f t="shared" si="5"/>
        <v>3000000</v>
      </c>
      <c r="W7" s="10"/>
      <c r="X7" s="10"/>
      <c r="Y7" s="10"/>
      <c r="Z7" s="10">
        <v>5084.5600000000004</v>
      </c>
      <c r="AA7" s="10">
        <v>360844.61999999994</v>
      </c>
      <c r="AB7" s="10">
        <v>889435.7</v>
      </c>
      <c r="AC7" s="10"/>
      <c r="AD7" s="10">
        <f t="shared" si="6"/>
        <v>1255364.8799999999</v>
      </c>
      <c r="AE7" s="10">
        <f t="shared" si="7"/>
        <v>1744635.12</v>
      </c>
      <c r="AF7" s="45">
        <f t="shared" si="8"/>
        <v>0.41845495999999999</v>
      </c>
      <c r="AG7" s="106">
        <f>ADSD!AG6</f>
        <v>0</v>
      </c>
      <c r="AH7" s="106">
        <f>ADSD!AH6</f>
        <v>250000</v>
      </c>
      <c r="AI7" s="106">
        <f>ADSD!AI6</f>
        <v>250000</v>
      </c>
      <c r="AJ7" s="106">
        <f>ADSD!AJ6</f>
        <v>250000</v>
      </c>
      <c r="AK7" s="106">
        <f>ADSD!AK6</f>
        <v>250000</v>
      </c>
      <c r="AL7" s="106">
        <f>ADSD!AL6</f>
        <v>250000</v>
      </c>
      <c r="AM7" s="106">
        <f>ADSD!AM6</f>
        <v>250000</v>
      </c>
      <c r="AN7" s="106">
        <f>ADSD!AN6</f>
        <v>164000</v>
      </c>
      <c r="AO7" s="106">
        <f>ADSD!AO6</f>
        <v>80635.12</v>
      </c>
      <c r="AP7" s="106">
        <f>ADSD!AP6</f>
        <v>0</v>
      </c>
      <c r="AQ7" s="105">
        <f t="shared" si="9"/>
        <v>1744635.12</v>
      </c>
      <c r="AR7" s="105">
        <f t="shared" si="10"/>
        <v>0</v>
      </c>
      <c r="AS7" s="104" t="str">
        <f>ADSD!AS6</f>
        <v>On Track</v>
      </c>
      <c r="AT7" s="116" t="str">
        <f>ADSD!AT6</f>
        <v>Projection methodology: Projection methodology:
- Public Health Supportive based on project plan.
- KPS3 based on project deliverable schedule.</v>
      </c>
    </row>
    <row r="8" spans="1:46" ht="25.2" x14ac:dyDescent="0.3">
      <c r="A8" s="43" t="s">
        <v>70</v>
      </c>
      <c r="B8" s="43" t="s">
        <v>71</v>
      </c>
      <c r="C8" s="56" t="s">
        <v>77</v>
      </c>
      <c r="D8" s="6" t="s">
        <v>73</v>
      </c>
      <c r="E8" s="6" t="s">
        <v>65</v>
      </c>
      <c r="F8" s="44" t="s">
        <v>78</v>
      </c>
      <c r="G8" s="7">
        <v>44854</v>
      </c>
      <c r="H8" s="7">
        <v>46295</v>
      </c>
      <c r="I8" s="12">
        <v>3278</v>
      </c>
      <c r="J8" s="9">
        <v>62</v>
      </c>
      <c r="K8" s="11">
        <v>1559280</v>
      </c>
      <c r="L8" s="10"/>
      <c r="M8" s="10"/>
      <c r="N8" s="10">
        <f t="shared" si="3"/>
        <v>1559280</v>
      </c>
      <c r="O8" s="10">
        <v>0</v>
      </c>
      <c r="P8" s="10"/>
      <c r="Q8" s="10">
        <v>59280</v>
      </c>
      <c r="R8" s="10"/>
      <c r="S8" s="10"/>
      <c r="T8" s="10"/>
      <c r="U8" s="10">
        <f t="shared" si="4"/>
        <v>59280</v>
      </c>
      <c r="V8" s="11">
        <f t="shared" si="5"/>
        <v>1500000</v>
      </c>
      <c r="W8" s="10"/>
      <c r="X8" s="10"/>
      <c r="Y8" s="10"/>
      <c r="Z8" s="10">
        <v>193311.08</v>
      </c>
      <c r="AA8" s="10">
        <v>916278.09000000008</v>
      </c>
      <c r="AB8" s="10">
        <v>207135.16000000003</v>
      </c>
      <c r="AC8" s="10"/>
      <c r="AD8" s="10">
        <f t="shared" si="6"/>
        <v>1316724.33</v>
      </c>
      <c r="AE8" s="10">
        <f t="shared" si="7"/>
        <v>183275.66999999993</v>
      </c>
      <c r="AF8" s="45">
        <f t="shared" si="8"/>
        <v>0.87781622000000004</v>
      </c>
      <c r="AG8" s="106">
        <f>ADSD!AG7</f>
        <v>0</v>
      </c>
      <c r="AH8" s="106">
        <f>ADSD!AH7</f>
        <v>65000</v>
      </c>
      <c r="AI8" s="106">
        <f>ADSD!AI7</f>
        <v>65000</v>
      </c>
      <c r="AJ8" s="106">
        <f>ADSD!AJ7</f>
        <v>53275.67</v>
      </c>
      <c r="AK8" s="106">
        <f>ADSD!AK7</f>
        <v>0</v>
      </c>
      <c r="AL8" s="106">
        <f>ADSD!AL7</f>
        <v>0</v>
      </c>
      <c r="AM8" s="107"/>
      <c r="AN8" s="107"/>
      <c r="AO8" s="107"/>
      <c r="AP8" s="107"/>
      <c r="AQ8" s="105">
        <f t="shared" si="9"/>
        <v>183275.66999999998</v>
      </c>
      <c r="AR8" s="105">
        <f t="shared" si="10"/>
        <v>0</v>
      </c>
      <c r="AS8" s="104" t="str">
        <f>ADSD!AS7</f>
        <v>On Track</v>
      </c>
      <c r="AT8" s="116" t="str">
        <f>ADSD!AT7</f>
        <v>Projection methodology:
- Acumen Fiscal Agent based on monthly projections for self-directed service support (Monthly average used for May -July. 2026)
- Washoe County based on projections for direct services,  reflects the monthly average used for May -July. 2026)
- Jewish Family Service Agency based on projections for monthly direct service and administrative cost (amount varies by month)</v>
      </c>
    </row>
    <row r="9" spans="1:46" ht="25.2" x14ac:dyDescent="0.3">
      <c r="A9" s="43" t="s">
        <v>70</v>
      </c>
      <c r="B9" s="43" t="s">
        <v>71</v>
      </c>
      <c r="C9" s="56" t="s">
        <v>79</v>
      </c>
      <c r="D9" s="6" t="s">
        <v>73</v>
      </c>
      <c r="E9" s="6" t="s">
        <v>65</v>
      </c>
      <c r="F9" s="44" t="s">
        <v>80</v>
      </c>
      <c r="G9" s="7">
        <v>44854</v>
      </c>
      <c r="H9" s="7">
        <v>46387</v>
      </c>
      <c r="I9" s="12">
        <v>3278</v>
      </c>
      <c r="J9" s="9">
        <v>62</v>
      </c>
      <c r="K9" s="11">
        <v>2090000</v>
      </c>
      <c r="L9" s="10"/>
      <c r="M9" s="10"/>
      <c r="N9" s="10">
        <f t="shared" si="3"/>
        <v>2090000</v>
      </c>
      <c r="O9" s="10">
        <v>0</v>
      </c>
      <c r="P9" s="10"/>
      <c r="Q9" s="10">
        <v>59280</v>
      </c>
      <c r="R9" s="10"/>
      <c r="S9" s="10"/>
      <c r="T9" s="10"/>
      <c r="U9" s="10">
        <f t="shared" si="4"/>
        <v>59280</v>
      </c>
      <c r="V9" s="11">
        <f t="shared" si="5"/>
        <v>2030720</v>
      </c>
      <c r="W9" s="10"/>
      <c r="X9" s="10"/>
      <c r="Y9" s="10"/>
      <c r="Z9" s="10">
        <v>1001269.81</v>
      </c>
      <c r="AA9" s="10">
        <v>942256.52999999991</v>
      </c>
      <c r="AB9" s="10">
        <v>76700.5</v>
      </c>
      <c r="AC9" s="10"/>
      <c r="AD9" s="10">
        <f t="shared" si="6"/>
        <v>2020226.8399999999</v>
      </c>
      <c r="AE9" s="10">
        <f t="shared" si="7"/>
        <v>10493.160000000149</v>
      </c>
      <c r="AF9" s="45">
        <f t="shared" si="8"/>
        <v>0.99483278837062705</v>
      </c>
      <c r="AG9" s="106">
        <f>ADSD!AG8</f>
        <v>0</v>
      </c>
      <c r="AH9" s="106">
        <f>ADSD!AH8</f>
        <v>10493.16</v>
      </c>
      <c r="AI9" s="106">
        <f>ADSD!AI8</f>
        <v>0</v>
      </c>
      <c r="AJ9" s="106">
        <f>ADSD!AJ8</f>
        <v>0</v>
      </c>
      <c r="AK9" s="106">
        <f>ADSD!AK8</f>
        <v>0</v>
      </c>
      <c r="AL9" s="106">
        <f>ADSD!AL8</f>
        <v>0</v>
      </c>
      <c r="AM9" s="106">
        <f>ADSD!AM8</f>
        <v>0</v>
      </c>
      <c r="AN9" s="106">
        <f>ADSD!AN8</f>
        <v>0</v>
      </c>
      <c r="AO9" s="106">
        <f>ADSD!AO8</f>
        <v>0</v>
      </c>
      <c r="AP9" s="106">
        <f>ADSD!AP8</f>
        <v>0</v>
      </c>
      <c r="AQ9" s="105">
        <f t="shared" si="9"/>
        <v>10493.16</v>
      </c>
      <c r="AR9" s="105">
        <f t="shared" si="10"/>
        <v>-1.4915713109076023E-10</v>
      </c>
      <c r="AS9" s="104" t="str">
        <f>ADSD!AS8</f>
        <v>On Track</v>
      </c>
      <c r="AT9" s="116" t="str">
        <f>ADSD!AT8</f>
        <v xml:space="preserve">Working with subrecipient/provider to fix RFR errors before payment. </v>
      </c>
    </row>
    <row r="10" spans="1:46" ht="25.2" x14ac:dyDescent="0.3">
      <c r="A10" s="43" t="s">
        <v>70</v>
      </c>
      <c r="B10" s="43" t="s">
        <v>71</v>
      </c>
      <c r="C10" s="57" t="s">
        <v>81</v>
      </c>
      <c r="D10" s="6" t="s">
        <v>73</v>
      </c>
      <c r="E10" s="6" t="s">
        <v>65</v>
      </c>
      <c r="F10" s="44" t="s">
        <v>82</v>
      </c>
      <c r="G10" s="7">
        <v>44854</v>
      </c>
      <c r="H10" s="7">
        <v>46387</v>
      </c>
      <c r="I10" s="12">
        <v>3279</v>
      </c>
      <c r="J10" s="9">
        <v>34</v>
      </c>
      <c r="K10" s="11">
        <v>14520000</v>
      </c>
      <c r="L10" s="10"/>
      <c r="M10" s="10"/>
      <c r="N10" s="10">
        <f t="shared" si="3"/>
        <v>14520000</v>
      </c>
      <c r="O10" s="10"/>
      <c r="P10" s="10"/>
      <c r="Q10" s="10">
        <v>2000000</v>
      </c>
      <c r="R10" s="10"/>
      <c r="S10" s="10">
        <f>1098250+600000</f>
        <v>1698250</v>
      </c>
      <c r="T10" s="10"/>
      <c r="U10" s="10">
        <f t="shared" si="4"/>
        <v>3698250</v>
      </c>
      <c r="V10" s="11">
        <f t="shared" si="5"/>
        <v>10821750</v>
      </c>
      <c r="W10" s="10"/>
      <c r="X10" s="10"/>
      <c r="Y10" s="10"/>
      <c r="Z10" s="10">
        <v>185103.93999999997</v>
      </c>
      <c r="AA10" s="10">
        <v>1468023.9800000004</v>
      </c>
      <c r="AB10" s="10">
        <v>2880295.9099999997</v>
      </c>
      <c r="AC10" s="10"/>
      <c r="AD10" s="10">
        <f t="shared" si="6"/>
        <v>4533423.83</v>
      </c>
      <c r="AE10" s="10">
        <f t="shared" si="7"/>
        <v>6288326.1699999999</v>
      </c>
      <c r="AF10" s="45">
        <f t="shared" si="8"/>
        <v>0.41891781181417054</v>
      </c>
      <c r="AG10" s="106">
        <f>ADSD!AG9</f>
        <v>0</v>
      </c>
      <c r="AH10" s="106">
        <f>ADSD!AH9</f>
        <v>786040.77</v>
      </c>
      <c r="AI10" s="106">
        <f>ADSD!AI9</f>
        <v>786040.77</v>
      </c>
      <c r="AJ10" s="106">
        <f>ADSD!AJ9</f>
        <v>786040.77</v>
      </c>
      <c r="AK10" s="106">
        <f>ADSD!AK9</f>
        <v>786040.77</v>
      </c>
      <c r="AL10" s="106">
        <f>ADSD!AL9</f>
        <v>786040.77</v>
      </c>
      <c r="AM10" s="106">
        <f>ADSD!AM9</f>
        <v>786040.77</v>
      </c>
      <c r="AN10" s="106">
        <f>ADSD!AN9</f>
        <v>786040.77</v>
      </c>
      <c r="AO10" s="106">
        <f>ADSD!AO9</f>
        <v>786040.78</v>
      </c>
      <c r="AP10" s="106">
        <f>ADSD!AP9</f>
        <v>0</v>
      </c>
      <c r="AQ10" s="105">
        <f t="shared" si="9"/>
        <v>6288326.1700000009</v>
      </c>
      <c r="AR10" s="105">
        <f t="shared" si="10"/>
        <v>0</v>
      </c>
      <c r="AS10" s="104" t="str">
        <f>ADSD!AS9</f>
        <v>On-track</v>
      </c>
      <c r="AT10" s="116" t="str">
        <f>ADSD!AT9</f>
        <v>We are expecting expenses due to participation incentives going out</v>
      </c>
    </row>
    <row r="11" spans="1:46" x14ac:dyDescent="0.3">
      <c r="A11" s="43" t="s">
        <v>70</v>
      </c>
      <c r="B11" s="65" t="s">
        <v>71</v>
      </c>
      <c r="C11" s="66" t="s">
        <v>83</v>
      </c>
      <c r="D11" s="58" t="s">
        <v>73</v>
      </c>
      <c r="E11" s="6" t="s">
        <v>65</v>
      </c>
      <c r="F11" s="44" t="s">
        <v>84</v>
      </c>
      <c r="G11" s="7">
        <v>44854</v>
      </c>
      <c r="H11" s="7">
        <v>46295</v>
      </c>
      <c r="I11" s="12">
        <v>3278</v>
      </c>
      <c r="J11" s="9">
        <v>63</v>
      </c>
      <c r="K11" s="11">
        <v>4000000</v>
      </c>
      <c r="L11" s="10"/>
      <c r="M11" s="10"/>
      <c r="N11" s="10">
        <f t="shared" si="3"/>
        <v>4000000</v>
      </c>
      <c r="O11" s="10"/>
      <c r="P11" s="10"/>
      <c r="Q11" s="10"/>
      <c r="R11" s="10"/>
      <c r="S11" s="10"/>
      <c r="T11" s="10"/>
      <c r="U11" s="10">
        <f t="shared" si="4"/>
        <v>0</v>
      </c>
      <c r="V11" s="11">
        <f t="shared" si="5"/>
        <v>4000000</v>
      </c>
      <c r="W11" s="10"/>
      <c r="X11" s="10"/>
      <c r="Y11" s="10"/>
      <c r="Z11" s="10">
        <v>127023.52</v>
      </c>
      <c r="AA11" s="10">
        <v>3144731.7399999998</v>
      </c>
      <c r="AB11" s="10">
        <v>715680.38000000012</v>
      </c>
      <c r="AC11" s="10"/>
      <c r="AD11" s="10">
        <f t="shared" si="6"/>
        <v>3987435.6399999997</v>
      </c>
      <c r="AE11" s="10">
        <f t="shared" si="7"/>
        <v>12564.360000000335</v>
      </c>
      <c r="AF11" s="45">
        <f t="shared" si="8"/>
        <v>0.99685890999999993</v>
      </c>
      <c r="AG11" s="106">
        <f>ADSD!AG10</f>
        <v>0</v>
      </c>
      <c r="AH11" s="106">
        <f>ADSD!AH10</f>
        <v>12564.36</v>
      </c>
      <c r="AI11" s="106">
        <f>ADSD!AI10</f>
        <v>0</v>
      </c>
      <c r="AJ11" s="106">
        <f>ADSD!AJ10</f>
        <v>0</v>
      </c>
      <c r="AK11" s="106">
        <f>ADSD!AK10</f>
        <v>0</v>
      </c>
      <c r="AL11" s="106">
        <f>ADSD!AL10</f>
        <v>0</v>
      </c>
      <c r="AM11" s="107"/>
      <c r="AN11" s="107"/>
      <c r="AO11" s="107"/>
      <c r="AP11" s="107"/>
      <c r="AQ11" s="105">
        <f t="shared" si="9"/>
        <v>12564.36</v>
      </c>
      <c r="AR11" s="105">
        <f t="shared" si="10"/>
        <v>-3.3469405025243759E-10</v>
      </c>
      <c r="AS11" s="104" t="str">
        <f>ADSD!AS10</f>
        <v>On Track</v>
      </c>
      <c r="AT11" s="116" t="str">
        <f>ADSD!AT10</f>
        <v>Subaward de-obligations</v>
      </c>
    </row>
    <row r="12" spans="1:46" x14ac:dyDescent="0.3">
      <c r="A12" s="67" t="s">
        <v>70</v>
      </c>
      <c r="B12" s="68" t="s">
        <v>71</v>
      </c>
      <c r="C12" s="69" t="s">
        <v>85</v>
      </c>
      <c r="D12" s="60" t="s">
        <v>73</v>
      </c>
      <c r="E12" s="62" t="s">
        <v>65</v>
      </c>
      <c r="F12" s="44" t="s">
        <v>86</v>
      </c>
      <c r="G12" s="7">
        <v>44854</v>
      </c>
      <c r="H12" s="7">
        <v>46387</v>
      </c>
      <c r="I12" s="12">
        <v>3278</v>
      </c>
      <c r="J12" s="9">
        <v>62</v>
      </c>
      <c r="K12" s="11">
        <v>1646881</v>
      </c>
      <c r="L12" s="10"/>
      <c r="M12" s="10"/>
      <c r="N12" s="10">
        <f t="shared" si="3"/>
        <v>1646881</v>
      </c>
      <c r="O12" s="10">
        <v>0</v>
      </c>
      <c r="P12" s="10"/>
      <c r="Q12" s="10">
        <v>500000</v>
      </c>
      <c r="R12" s="10"/>
      <c r="S12" s="10"/>
      <c r="T12" s="10"/>
      <c r="U12" s="10">
        <f t="shared" si="4"/>
        <v>500000</v>
      </c>
      <c r="V12" s="11">
        <f t="shared" si="5"/>
        <v>1146881</v>
      </c>
      <c r="W12" s="10"/>
      <c r="X12" s="10"/>
      <c r="Y12" s="10"/>
      <c r="Z12" s="10">
        <v>225000</v>
      </c>
      <c r="AA12" s="10">
        <v>478445.95999999985</v>
      </c>
      <c r="AB12" s="10">
        <v>163200.79</v>
      </c>
      <c r="AC12" s="10"/>
      <c r="AD12" s="10">
        <f t="shared" si="6"/>
        <v>866646.74999999988</v>
      </c>
      <c r="AE12" s="10">
        <f t="shared" si="7"/>
        <v>280234.25000000012</v>
      </c>
      <c r="AF12" s="45">
        <f t="shared" si="8"/>
        <v>0.75565533826090059</v>
      </c>
      <c r="AG12" s="106">
        <f>ADSD!AG11</f>
        <v>0</v>
      </c>
      <c r="AH12" s="106">
        <f>ADSD!AH11</f>
        <v>50500</v>
      </c>
      <c r="AI12" s="106">
        <f>ADSD!AI11</f>
        <v>50500</v>
      </c>
      <c r="AJ12" s="106">
        <f>ADSD!AJ11</f>
        <v>55000</v>
      </c>
      <c r="AK12" s="106">
        <f>ADSD!AK11</f>
        <v>55000</v>
      </c>
      <c r="AL12" s="106">
        <f>ADSD!AL11</f>
        <v>20000</v>
      </c>
      <c r="AM12" s="106">
        <f>ADSD!AM11</f>
        <v>20000</v>
      </c>
      <c r="AN12" s="106">
        <f>ADSD!AN11</f>
        <v>20000</v>
      </c>
      <c r="AO12" s="106">
        <f>ADSD!AO11</f>
        <v>9234.25</v>
      </c>
      <c r="AP12" s="106">
        <f>ADSD!AP11</f>
        <v>0</v>
      </c>
      <c r="AQ12" s="105">
        <f t="shared" si="9"/>
        <v>280234.25</v>
      </c>
      <c r="AR12" s="105">
        <f t="shared" si="10"/>
        <v>0</v>
      </c>
      <c r="AS12" s="104" t="str">
        <f>ADSD!AS11</f>
        <v>On Track</v>
      </c>
      <c r="AT12" s="116" t="str">
        <f>ADSD!AT11</f>
        <v>Projection methodology:
- Money Management International based on monthly contract amount.
- Jewish Family Service Agency, Lyon County, and Access to Healthcare Network based on remaining balance and award, split across remaining months.
- KPS3 based on contract deliverables (Start date for additional deliverable in May. 2026, continuing through Dec. 2026.)
- Nevada Public Health Foundation based on contract deliverables (Higher amount in May and Jun. 2026, other months in project period at $10k.)</v>
      </c>
    </row>
    <row r="13" spans="1:46" ht="100.8" x14ac:dyDescent="0.3">
      <c r="A13" s="67" t="s">
        <v>87</v>
      </c>
      <c r="B13" s="43" t="s">
        <v>88</v>
      </c>
      <c r="C13" s="56" t="s">
        <v>89</v>
      </c>
      <c r="D13" s="6" t="s">
        <v>90</v>
      </c>
      <c r="E13" s="6" t="s">
        <v>65</v>
      </c>
      <c r="F13" s="44" t="s">
        <v>91</v>
      </c>
      <c r="G13" s="7">
        <v>44686</v>
      </c>
      <c r="H13" s="7">
        <v>46203</v>
      </c>
      <c r="I13" s="9">
        <v>3223</v>
      </c>
      <c r="J13" s="9">
        <v>19</v>
      </c>
      <c r="K13" s="11">
        <v>477606</v>
      </c>
      <c r="L13" s="10"/>
      <c r="M13" s="10"/>
      <c r="N13" s="10">
        <f t="shared" si="3"/>
        <v>477606</v>
      </c>
      <c r="O13" s="10"/>
      <c r="P13" s="10"/>
      <c r="Q13" s="10"/>
      <c r="R13" s="10"/>
      <c r="S13" s="10"/>
      <c r="T13" s="10"/>
      <c r="U13" s="10">
        <f t="shared" si="4"/>
        <v>0</v>
      </c>
      <c r="V13" s="11">
        <f t="shared" si="5"/>
        <v>477606</v>
      </c>
      <c r="W13" s="10"/>
      <c r="X13" s="10"/>
      <c r="Y13" s="10">
        <v>326628</v>
      </c>
      <c r="Z13" s="10">
        <v>60282</v>
      </c>
      <c r="AA13" s="10">
        <v>39664.199999999997</v>
      </c>
      <c r="AB13" s="10">
        <v>120</v>
      </c>
      <c r="AC13" s="10"/>
      <c r="AD13" s="10">
        <f t="shared" si="6"/>
        <v>426694.2</v>
      </c>
      <c r="AE13" s="10">
        <f t="shared" si="7"/>
        <v>50911.799999999988</v>
      </c>
      <c r="AF13" s="45">
        <f t="shared" si="8"/>
        <v>0.8934020929385309</v>
      </c>
      <c r="AG13" s="106" t="str">
        <f>DPBH!AG4</f>
        <v>N/A</v>
      </c>
      <c r="AH13" s="106">
        <f>DPBH!AH4</f>
        <v>810.23</v>
      </c>
      <c r="AI13" s="106">
        <f>DPBH!AI4</f>
        <v>5671.57</v>
      </c>
      <c r="AJ13" s="106">
        <f>DPBH!AJ4</f>
        <v>7082.5</v>
      </c>
      <c r="AK13" s="106">
        <f>DPBH!AK4</f>
        <v>7082.5</v>
      </c>
      <c r="AL13" s="106">
        <f>DPBH!AL4</f>
        <v>7082.5</v>
      </c>
      <c r="AM13" s="106">
        <f>DPBH!AM4</f>
        <v>7082.5</v>
      </c>
      <c r="AN13" s="106">
        <f>DPBH!AN4</f>
        <v>8050</v>
      </c>
      <c r="AO13" s="106">
        <f>DPBH!AO4</f>
        <v>8050</v>
      </c>
      <c r="AP13" s="106" t="str">
        <f>DPBH!AP4</f>
        <v> </v>
      </c>
      <c r="AQ13" s="105">
        <f t="shared" si="9"/>
        <v>50911.8</v>
      </c>
      <c r="AR13" s="105">
        <f t="shared" si="10"/>
        <v>0</v>
      </c>
      <c r="AS13" s="104" t="str">
        <f>DPBH!AS4</f>
        <v>On Track</v>
      </c>
      <c r="AT13" s="116" t="str">
        <f>DPBH!AT4</f>
        <v>A request  to extend the performance period to 12/30/26 has been submitted, to ensure that future approved Agate Change Requests will be able to be completed and paid for through 12/30/26. Funds were allocated to the Service Enhancement deliverable to pay for approved Change Requests.</v>
      </c>
    </row>
    <row r="14" spans="1:46" ht="86.4" x14ac:dyDescent="0.3">
      <c r="A14" s="67" t="s">
        <v>87</v>
      </c>
      <c r="B14" s="43" t="s">
        <v>88</v>
      </c>
      <c r="C14" s="55" t="s">
        <v>92</v>
      </c>
      <c r="D14" s="6" t="s">
        <v>90</v>
      </c>
      <c r="E14" s="6" t="s">
        <v>65</v>
      </c>
      <c r="F14" s="44" t="s">
        <v>93</v>
      </c>
      <c r="G14" s="7">
        <v>45108</v>
      </c>
      <c r="H14" s="7">
        <v>46477</v>
      </c>
      <c r="I14" s="9">
        <v>3223</v>
      </c>
      <c r="J14" s="12" t="s">
        <v>94</v>
      </c>
      <c r="K14" s="11">
        <f>284159+268286</f>
        <v>552445</v>
      </c>
      <c r="L14" s="10">
        <v>404873</v>
      </c>
      <c r="M14" s="10"/>
      <c r="N14" s="10">
        <f t="shared" si="3"/>
        <v>957318</v>
      </c>
      <c r="O14" s="70"/>
      <c r="P14" s="70"/>
      <c r="Q14" s="10"/>
      <c r="R14" s="10"/>
      <c r="S14" s="10"/>
      <c r="T14" s="10"/>
      <c r="U14" s="10">
        <f t="shared" si="4"/>
        <v>0</v>
      </c>
      <c r="V14" s="11">
        <f t="shared" si="5"/>
        <v>957318</v>
      </c>
      <c r="W14" s="10"/>
      <c r="X14" s="10"/>
      <c r="Y14" s="10"/>
      <c r="Z14" s="10">
        <v>249208.08</v>
      </c>
      <c r="AA14" s="10">
        <v>252955.18</v>
      </c>
      <c r="AB14" s="10">
        <v>207439.22</v>
      </c>
      <c r="AC14" s="10"/>
      <c r="AD14" s="10">
        <f t="shared" si="6"/>
        <v>709602.48</v>
      </c>
      <c r="AE14" s="10">
        <f t="shared" si="7"/>
        <v>247715.52000000002</v>
      </c>
      <c r="AF14" s="45">
        <f t="shared" si="8"/>
        <v>0.74124008950004072</v>
      </c>
      <c r="AG14" s="106" t="str">
        <f>DPBH!AG5</f>
        <v>N/A</v>
      </c>
      <c r="AH14" s="106">
        <f>DPBH!AH5</f>
        <v>22000</v>
      </c>
      <c r="AI14" s="106">
        <f>DPBH!AI5</f>
        <v>22000</v>
      </c>
      <c r="AJ14" s="106">
        <f>DPBH!AJ5</f>
        <v>22000</v>
      </c>
      <c r="AK14" s="106">
        <f>DPBH!AK5</f>
        <v>22000</v>
      </c>
      <c r="AL14" s="106">
        <f>DPBH!AL5</f>
        <v>22000</v>
      </c>
      <c r="AM14" s="106">
        <f>DPBH!AM5</f>
        <v>22000</v>
      </c>
      <c r="AN14" s="106">
        <f>DPBH!AN5</f>
        <v>22000</v>
      </c>
      <c r="AO14" s="106">
        <f>DPBH!AO5</f>
        <v>22000</v>
      </c>
      <c r="AP14" s="106">
        <f>DPBH!AP5</f>
        <v>71715.520000000004</v>
      </c>
      <c r="AQ14" s="105">
        <f t="shared" si="9"/>
        <v>247715.52000000002</v>
      </c>
      <c r="AR14" s="105">
        <f t="shared" si="10"/>
        <v>0</v>
      </c>
      <c r="AS14" s="104" t="str">
        <f>DPBH!AS5</f>
        <v>On Track</v>
      </c>
      <c r="AT14" s="116" t="str">
        <f>DPBH!AT5</f>
        <v>Project performance period extended for continued work and support of completing project tasks, Performing final reconcilliation, and submitting all final reporting. Project on-track to fully expend all funds.  Projections based on current expenditure trends.</v>
      </c>
    </row>
    <row r="15" spans="1:46" ht="244.8" x14ac:dyDescent="0.3">
      <c r="A15" s="67" t="s">
        <v>87</v>
      </c>
      <c r="B15" s="43" t="s">
        <v>88</v>
      </c>
      <c r="C15" s="56" t="s">
        <v>95</v>
      </c>
      <c r="D15" s="6" t="s">
        <v>90</v>
      </c>
      <c r="E15" s="6" t="s">
        <v>65</v>
      </c>
      <c r="F15" s="44" t="s">
        <v>96</v>
      </c>
      <c r="G15" s="7">
        <v>44854</v>
      </c>
      <c r="H15" s="7">
        <v>46387</v>
      </c>
      <c r="I15" s="12">
        <v>3219</v>
      </c>
      <c r="J15" s="9">
        <v>34</v>
      </c>
      <c r="K15" s="11">
        <v>5000000</v>
      </c>
      <c r="L15" s="10"/>
      <c r="M15" s="10"/>
      <c r="N15" s="10">
        <f t="shared" si="3"/>
        <v>5000000</v>
      </c>
      <c r="O15" s="10"/>
      <c r="P15" s="10"/>
      <c r="Q15" s="10"/>
      <c r="R15" s="10"/>
      <c r="S15" s="10"/>
      <c r="T15" s="10"/>
      <c r="U15" s="10">
        <f t="shared" si="4"/>
        <v>0</v>
      </c>
      <c r="V15" s="11">
        <f t="shared" si="5"/>
        <v>5000000</v>
      </c>
      <c r="W15" s="10"/>
      <c r="X15" s="10"/>
      <c r="Y15" s="10">
        <v>5642.56</v>
      </c>
      <c r="Z15" s="10">
        <v>191705.75</v>
      </c>
      <c r="AA15" s="10">
        <v>1410887.74</v>
      </c>
      <c r="AB15" s="10">
        <v>1292032.1300000001</v>
      </c>
      <c r="AC15" s="10"/>
      <c r="AD15" s="10">
        <f t="shared" si="6"/>
        <v>2900268.18</v>
      </c>
      <c r="AE15" s="10">
        <f t="shared" si="7"/>
        <v>2099731.8199999998</v>
      </c>
      <c r="AF15" s="45">
        <f t="shared" si="8"/>
        <v>0.58005363600000004</v>
      </c>
      <c r="AG15" s="106" t="str">
        <f>DPBH!AG6</f>
        <v>N/A</v>
      </c>
      <c r="AH15" s="106">
        <f>DPBH!AH6</f>
        <v>190607.98</v>
      </c>
      <c r="AI15" s="106">
        <f>DPBH!AI6</f>
        <v>272731.96999999997</v>
      </c>
      <c r="AJ15" s="106">
        <f>DPBH!AJ6</f>
        <v>272731.96999999997</v>
      </c>
      <c r="AK15" s="106">
        <f>DPBH!AK6</f>
        <v>272731.96999999997</v>
      </c>
      <c r="AL15" s="106">
        <f>DPBH!AL6</f>
        <v>272731.96999999997</v>
      </c>
      <c r="AM15" s="106">
        <f>DPBH!AM6</f>
        <v>272731.96999999997</v>
      </c>
      <c r="AN15" s="106">
        <f>DPBH!AN6</f>
        <v>272731.96999999997</v>
      </c>
      <c r="AO15" s="106">
        <f>DPBH!AO6</f>
        <v>272732.02</v>
      </c>
      <c r="AP15" s="106" t="str">
        <f>DPBH!AP6</f>
        <v> </v>
      </c>
      <c r="AQ15" s="105">
        <f t="shared" si="9"/>
        <v>2099731.8199999998</v>
      </c>
      <c r="AR15" s="105">
        <f t="shared" si="10"/>
        <v>0</v>
      </c>
      <c r="AS15" s="104" t="str">
        <f>DPBH!AS6</f>
        <v>On Track</v>
      </c>
      <c r="AT15" s="116" t="str">
        <f>DPBH!AT6</f>
        <v xml:space="preserve"> Kristen Clements-Nolle: PhD (3), MS HAB (6), MPH Epi (3), Grad Special MPH Epi (2), Epidemiology and Biostatistics Certificate (2), Grad Special Epi and Biostatistics Certificate (1), Online Public Health Data Management and Analysis Certificate (7), Undergraduate Public Health (7), Graduate Assistant MS HAB (3), Graduate Assistant MPH Epi (7), Graduate Assistant Online MPH (1). Brian Labus: All program staff, and all three member of cohort 2 are currently in the program. Two of three people from cohort 1 completed the 12 months, one left a month early to take a full time position. Projections based on previous expenditures and coordiation with subrecipient.  Expected to fully ewxpend funds.</v>
      </c>
    </row>
    <row r="16" spans="1:46" ht="115.2" x14ac:dyDescent="0.3">
      <c r="A16" s="43" t="s">
        <v>87</v>
      </c>
      <c r="B16" s="59" t="s">
        <v>88</v>
      </c>
      <c r="C16" s="71" t="s">
        <v>97</v>
      </c>
      <c r="D16" s="61" t="s">
        <v>98</v>
      </c>
      <c r="E16" s="61" t="s">
        <v>65</v>
      </c>
      <c r="F16" s="81" t="s">
        <v>99</v>
      </c>
      <c r="G16" s="82">
        <v>44743</v>
      </c>
      <c r="H16" s="82">
        <v>46203</v>
      </c>
      <c r="I16" s="83">
        <v>3165</v>
      </c>
      <c r="J16" s="84">
        <v>64</v>
      </c>
      <c r="K16" s="64">
        <v>10000000</v>
      </c>
      <c r="L16" s="63"/>
      <c r="M16" s="63"/>
      <c r="N16" s="63">
        <f t="shared" si="3"/>
        <v>10000000</v>
      </c>
      <c r="O16" s="63">
        <v>0</v>
      </c>
      <c r="P16" s="63">
        <v>5000000</v>
      </c>
      <c r="Q16" s="63">
        <v>1900000</v>
      </c>
      <c r="R16" s="63"/>
      <c r="S16" s="63"/>
      <c r="T16" s="63"/>
      <c r="U16" s="63">
        <f t="shared" si="4"/>
        <v>6900000</v>
      </c>
      <c r="V16" s="64">
        <f t="shared" si="5"/>
        <v>3100000</v>
      </c>
      <c r="W16" s="63"/>
      <c r="X16" s="63"/>
      <c r="Y16" s="63">
        <v>57796.219999999994</v>
      </c>
      <c r="Z16" s="63">
        <v>2079879</v>
      </c>
      <c r="AA16" s="63">
        <v>698605.60000000009</v>
      </c>
      <c r="AB16" s="63">
        <v>249285.96</v>
      </c>
      <c r="AC16" s="63"/>
      <c r="AD16" s="63">
        <f t="shared" si="6"/>
        <v>3085566.7800000003</v>
      </c>
      <c r="AE16" s="63">
        <f t="shared" si="7"/>
        <v>14433.219999999739</v>
      </c>
      <c r="AF16" s="45">
        <f t="shared" si="8"/>
        <v>0.9953441225806452</v>
      </c>
      <c r="AG16" s="106" t="str">
        <f>DPBH!AG7</f>
        <v>N/A</v>
      </c>
      <c r="AH16" s="106">
        <f>DPBH!AH7</f>
        <v>957.22</v>
      </c>
      <c r="AI16" s="106">
        <f>DPBH!AI7</f>
        <v>13476</v>
      </c>
      <c r="AJ16" s="107"/>
      <c r="AK16" s="107"/>
      <c r="AL16" s="107"/>
      <c r="AM16" s="107"/>
      <c r="AN16" s="107"/>
      <c r="AO16" s="107"/>
      <c r="AP16" s="107"/>
      <c r="AQ16" s="105">
        <f t="shared" si="9"/>
        <v>14433.22</v>
      </c>
      <c r="AR16" s="105">
        <f t="shared" si="10"/>
        <v>2.6011548470705748E-10</v>
      </c>
      <c r="AS16" s="104" t="str">
        <f>DPBH!AS7</f>
        <v>On Track</v>
      </c>
      <c r="AT16" s="116" t="str">
        <f>DPBH!AT7</f>
        <v>This funding stream did receive a approved extension to end on June 30, 2026. Our Seven Hills provider was able to expend a majority of their award hoever it did end at the December. We are currently getting a new award for the remaining balance $13,476 to Desert Parkway to expend quickly before June 2026.</v>
      </c>
    </row>
    <row r="17" spans="1:46" ht="28.8" x14ac:dyDescent="0.3">
      <c r="A17" s="43" t="s">
        <v>87</v>
      </c>
      <c r="B17" s="43" t="s">
        <v>88</v>
      </c>
      <c r="C17" s="56" t="s">
        <v>100</v>
      </c>
      <c r="D17" s="6" t="s">
        <v>90</v>
      </c>
      <c r="E17" s="6" t="s">
        <v>65</v>
      </c>
      <c r="F17" s="44" t="s">
        <v>101</v>
      </c>
      <c r="G17" s="7">
        <v>44854</v>
      </c>
      <c r="H17" s="7">
        <v>46203</v>
      </c>
      <c r="I17" s="12">
        <v>3219</v>
      </c>
      <c r="J17" s="9">
        <v>35</v>
      </c>
      <c r="K17" s="11">
        <v>1500000</v>
      </c>
      <c r="L17" s="10"/>
      <c r="M17" s="10"/>
      <c r="N17" s="10">
        <f t="shared" si="3"/>
        <v>1500000</v>
      </c>
      <c r="O17" s="10"/>
      <c r="P17" s="10"/>
      <c r="Q17" s="10"/>
      <c r="R17" s="10"/>
      <c r="S17" s="10"/>
      <c r="T17" s="10"/>
      <c r="U17" s="10">
        <f t="shared" si="4"/>
        <v>0</v>
      </c>
      <c r="V17" s="11">
        <f t="shared" si="5"/>
        <v>1500000</v>
      </c>
      <c r="W17" s="10"/>
      <c r="X17" s="10"/>
      <c r="Y17" s="10"/>
      <c r="Z17" s="10">
        <v>131435.79</v>
      </c>
      <c r="AA17" s="10">
        <v>943395.25</v>
      </c>
      <c r="AB17" s="10">
        <v>425168.62</v>
      </c>
      <c r="AC17" s="10"/>
      <c r="AD17" s="10">
        <f t="shared" si="6"/>
        <v>1499999.6600000001</v>
      </c>
      <c r="AE17" s="10">
        <f t="shared" si="7"/>
        <v>0.33999999985098839</v>
      </c>
      <c r="AF17" s="45">
        <f t="shared" si="8"/>
        <v>0.99999977333333345</v>
      </c>
      <c r="AG17" s="106" t="str">
        <f>DPBH!AG8</f>
        <v>N/A</v>
      </c>
      <c r="AH17" s="106">
        <f>DPBH!AH8</f>
        <v>0</v>
      </c>
      <c r="AI17" s="106">
        <f>DPBH!AI8</f>
        <v>0</v>
      </c>
      <c r="AJ17" s="107"/>
      <c r="AK17" s="107"/>
      <c r="AL17" s="107"/>
      <c r="AM17" s="107"/>
      <c r="AN17" s="107"/>
      <c r="AO17" s="107"/>
      <c r="AP17" s="107"/>
      <c r="AQ17" s="105">
        <f t="shared" si="9"/>
        <v>0</v>
      </c>
      <c r="AR17" s="105">
        <f t="shared" si="10"/>
        <v>-0.33999999985098839</v>
      </c>
      <c r="AS17" s="104" t="str">
        <f>DPBH!AS8</f>
        <v>On Track</v>
      </c>
      <c r="AT17" s="116" t="str">
        <f>DPBH!AT8</f>
        <v xml:space="preserve">Project Complete. Closeout activities in process.  </v>
      </c>
    </row>
    <row r="18" spans="1:46" ht="302.39999999999998" x14ac:dyDescent="0.3">
      <c r="A18" s="43" t="s">
        <v>87</v>
      </c>
      <c r="B18" s="43" t="s">
        <v>102</v>
      </c>
      <c r="C18" s="56" t="s">
        <v>103</v>
      </c>
      <c r="D18" s="6" t="s">
        <v>90</v>
      </c>
      <c r="E18" s="6" t="s">
        <v>65</v>
      </c>
      <c r="F18" s="44" t="s">
        <v>104</v>
      </c>
      <c r="G18" s="7">
        <v>45091</v>
      </c>
      <c r="H18" s="7">
        <v>46387</v>
      </c>
      <c r="I18" s="9">
        <v>3234</v>
      </c>
      <c r="J18" s="9">
        <v>22</v>
      </c>
      <c r="K18" s="11">
        <v>5494300</v>
      </c>
      <c r="L18" s="10"/>
      <c r="M18" s="10"/>
      <c r="N18" s="10">
        <f t="shared" si="3"/>
        <v>5494300</v>
      </c>
      <c r="O18" s="10"/>
      <c r="P18" s="70"/>
      <c r="Q18" s="10"/>
      <c r="R18" s="10"/>
      <c r="S18" s="10"/>
      <c r="T18" s="10"/>
      <c r="U18" s="10">
        <f t="shared" si="4"/>
        <v>0</v>
      </c>
      <c r="V18" s="11">
        <f t="shared" si="5"/>
        <v>5494300</v>
      </c>
      <c r="W18" s="10"/>
      <c r="X18" s="10"/>
      <c r="Y18" s="10"/>
      <c r="Z18" s="10">
        <v>201861.5</v>
      </c>
      <c r="AA18" s="10">
        <v>1819585.17</v>
      </c>
      <c r="AB18" s="10">
        <v>2262469.92</v>
      </c>
      <c r="AC18" s="10"/>
      <c r="AD18" s="10">
        <f t="shared" si="6"/>
        <v>4283916.59</v>
      </c>
      <c r="AE18" s="10">
        <f t="shared" si="7"/>
        <v>1210383.4100000001</v>
      </c>
      <c r="AF18" s="45">
        <f t="shared" si="8"/>
        <v>0.77970198023406068</v>
      </c>
      <c r="AG18" s="106" t="str">
        <f>DPBH!AG9</f>
        <v>N/A</v>
      </c>
      <c r="AH18" s="106">
        <f>DPBH!AH9</f>
        <v>147779.79</v>
      </c>
      <c r="AI18" s="106">
        <f>DPBH!AI9</f>
        <v>237668.36</v>
      </c>
      <c r="AJ18" s="106">
        <f>DPBH!AJ9</f>
        <v>147176.06</v>
      </c>
      <c r="AK18" s="106">
        <f>DPBH!AK9</f>
        <v>147176.06</v>
      </c>
      <c r="AL18" s="106">
        <f>DPBH!AL9</f>
        <v>147176.06</v>
      </c>
      <c r="AM18" s="106">
        <f>DPBH!AM9</f>
        <v>127802.36</v>
      </c>
      <c r="AN18" s="106">
        <f>DPBH!AN9</f>
        <v>127802.36</v>
      </c>
      <c r="AO18" s="106">
        <f>DPBH!AO9</f>
        <v>127802.36</v>
      </c>
      <c r="AP18" s="106" t="str">
        <f>DPBH!AP9</f>
        <v> </v>
      </c>
      <c r="AQ18" s="105">
        <f t="shared" si="9"/>
        <v>1210383.4100000001</v>
      </c>
      <c r="AR18" s="105">
        <f t="shared" si="10"/>
        <v>0</v>
      </c>
      <c r="AS18" s="104" t="str">
        <f>DPBH!AS9</f>
        <v>On Track</v>
      </c>
      <c r="AT18" s="116" t="str">
        <f>DPBH!AT9</f>
        <v>Healthy Communities Coalition 31 scholarship recipients total award. 100% spent down. UNR Larson Institute 26 scholarship recipients CHW, 15 English Doula, 17 Spanish Doula scholarship recipients, 20 scholarship applicants accepted training scholarships. UNR Integration 6 fellowships. Nevada Primary Care 11 Scholarships PCP’s, 1 Preceptor 1 MA learners, 9 EKG learners. High Sierra AHEC 15 scholarships for Spring 2026 semester. 5 Ambassadors, 1 Scholar. UNR CASAT Supervision: 13 new licensed PRSS-S; 1 new licensed ADG Supervisors. UNLV BeHere 23 scholarship recipients. UNR Resilience, Praveen: 9 Public Health Certificates, 9 Full time online MPH program. Dr. Sharma 154 (Undergraduate: 28; Master's: 64; Doctoral: 62); In addition, all total GA-ships have also been awarded: 15(Master's=9; Doctoral=6);  Project is On Track and expected to fully spend down by end of project period.</v>
      </c>
    </row>
    <row r="19" spans="1:46" ht="201.6" x14ac:dyDescent="0.3">
      <c r="A19" s="43" t="s">
        <v>87</v>
      </c>
      <c r="B19" s="43" t="s">
        <v>88</v>
      </c>
      <c r="C19" s="55" t="s">
        <v>105</v>
      </c>
      <c r="D19" s="6" t="s">
        <v>90</v>
      </c>
      <c r="E19" s="6" t="s">
        <v>65</v>
      </c>
      <c r="F19" s="44" t="s">
        <v>106</v>
      </c>
      <c r="G19" s="7">
        <v>45092</v>
      </c>
      <c r="H19" s="7">
        <v>46387</v>
      </c>
      <c r="I19" s="9">
        <v>3234</v>
      </c>
      <c r="J19" s="9">
        <v>21</v>
      </c>
      <c r="K19" s="11">
        <v>666000</v>
      </c>
      <c r="L19" s="10"/>
      <c r="M19" s="10">
        <v>0</v>
      </c>
      <c r="N19" s="10">
        <f t="shared" si="3"/>
        <v>666000</v>
      </c>
      <c r="O19" s="10"/>
      <c r="P19" s="10"/>
      <c r="Q19" s="10"/>
      <c r="R19" s="10"/>
      <c r="S19" s="10"/>
      <c r="T19" s="10"/>
      <c r="U19" s="10">
        <f t="shared" si="4"/>
        <v>0</v>
      </c>
      <c r="V19" s="11">
        <f t="shared" si="5"/>
        <v>666000</v>
      </c>
      <c r="W19" s="10"/>
      <c r="X19" s="10"/>
      <c r="Y19" s="10"/>
      <c r="Z19" s="8">
        <v>4997.96</v>
      </c>
      <c r="AA19" s="8">
        <v>157255.49000000002</v>
      </c>
      <c r="AB19" s="8">
        <v>212652.27999999997</v>
      </c>
      <c r="AC19" s="10"/>
      <c r="AD19" s="10">
        <f t="shared" si="6"/>
        <v>374905.73</v>
      </c>
      <c r="AE19" s="10">
        <f t="shared" si="7"/>
        <v>291094.27</v>
      </c>
      <c r="AF19" s="45">
        <f t="shared" si="8"/>
        <v>0.56292151651651645</v>
      </c>
      <c r="AG19" s="106" t="str">
        <f>DPBH!AG10</f>
        <v>N/A</v>
      </c>
      <c r="AH19" s="106">
        <f>DPBH!AH10</f>
        <v>23904.880000000001</v>
      </c>
      <c r="AI19" s="106">
        <f>DPBH!AI10</f>
        <v>39841.5</v>
      </c>
      <c r="AJ19" s="106">
        <f>DPBH!AJ10</f>
        <v>39841.5</v>
      </c>
      <c r="AK19" s="106">
        <f>DPBH!AK10</f>
        <v>39841.5</v>
      </c>
      <c r="AL19" s="106">
        <f>DPBH!AL10</f>
        <v>39841.5</v>
      </c>
      <c r="AM19" s="106">
        <f>DPBH!AM10</f>
        <v>34613.089999999997</v>
      </c>
      <c r="AN19" s="106">
        <f>DPBH!AN10</f>
        <v>34613.089999999997</v>
      </c>
      <c r="AO19" s="106">
        <f>DPBH!AO10</f>
        <v>38597.21</v>
      </c>
      <c r="AP19" s="106" t="str">
        <f>DPBH!AP10</f>
        <v> </v>
      </c>
      <c r="AQ19" s="105">
        <f t="shared" si="9"/>
        <v>291094.27</v>
      </c>
      <c r="AR19" s="105">
        <f t="shared" si="10"/>
        <v>0</v>
      </c>
      <c r="AS19" s="104" t="str">
        <f>DPBH!AS10</f>
        <v>On Track</v>
      </c>
      <c r="AT19" s="116" t="str">
        <f>DPBH!AT10</f>
        <v>UNLV Pipeline Southern Nevada latch clinic has officially started with adding two extra days that began on May 1st. One at the Healthy Living Institute, and adding another day at UNLV Pediatrics. The pathway 3 mentees have also attended a breastfeeding workshop hosted by the NV Breastfeeding Coalition to increase their knowledge and skill set. Has also been approached with the opportunity to work with the city of Henderson to have our mentees teach breastfeeding education this summer.  Project is On Track and expected to fully spend down by end of project period.</v>
      </c>
    </row>
    <row r="20" spans="1:46" ht="57.6" x14ac:dyDescent="0.3">
      <c r="A20" s="43" t="s">
        <v>87</v>
      </c>
      <c r="B20" s="43" t="s">
        <v>88</v>
      </c>
      <c r="C20" s="56" t="s">
        <v>107</v>
      </c>
      <c r="D20" s="6" t="s">
        <v>90</v>
      </c>
      <c r="E20" s="6" t="s">
        <v>65</v>
      </c>
      <c r="F20" s="44" t="s">
        <v>108</v>
      </c>
      <c r="G20" s="7">
        <v>44791</v>
      </c>
      <c r="H20" s="7">
        <v>46142</v>
      </c>
      <c r="I20" s="9">
        <v>3645</v>
      </c>
      <c r="J20" s="9">
        <v>61</v>
      </c>
      <c r="K20" s="11">
        <v>1462644</v>
      </c>
      <c r="L20" s="10"/>
      <c r="M20" s="10"/>
      <c r="N20" s="10">
        <f t="shared" si="3"/>
        <v>1462644</v>
      </c>
      <c r="O20" s="10"/>
      <c r="P20" s="10"/>
      <c r="Q20" s="10"/>
      <c r="R20" s="10"/>
      <c r="S20" s="10">
        <v>288337.5</v>
      </c>
      <c r="T20" s="10"/>
      <c r="U20" s="10">
        <f t="shared" si="4"/>
        <v>288337.5</v>
      </c>
      <c r="V20" s="11">
        <f t="shared" si="5"/>
        <v>1174306.5</v>
      </c>
      <c r="W20" s="10"/>
      <c r="X20" s="10"/>
      <c r="Y20" s="10">
        <v>24377.24</v>
      </c>
      <c r="Z20" s="10">
        <v>103040.12999999999</v>
      </c>
      <c r="AA20" s="10">
        <v>888600.13</v>
      </c>
      <c r="AB20" s="10">
        <v>115031.97</v>
      </c>
      <c r="AC20" s="10"/>
      <c r="AD20" s="10">
        <f t="shared" si="6"/>
        <v>1131049.47</v>
      </c>
      <c r="AE20" s="10">
        <f t="shared" si="7"/>
        <v>43257.030000000028</v>
      </c>
      <c r="AF20" s="45">
        <f t="shared" si="8"/>
        <v>0.96316376516693036</v>
      </c>
      <c r="AG20" s="106" t="str">
        <f>DPBH!AG11</f>
        <v>N/A</v>
      </c>
      <c r="AH20" s="107"/>
      <c r="AI20" s="107"/>
      <c r="AJ20" s="107"/>
      <c r="AK20" s="107"/>
      <c r="AL20" s="107"/>
      <c r="AM20" s="107"/>
      <c r="AN20" s="107"/>
      <c r="AO20" s="107"/>
      <c r="AP20" s="107"/>
      <c r="AQ20" s="105">
        <f t="shared" si="9"/>
        <v>0</v>
      </c>
      <c r="AR20" s="105">
        <f t="shared" si="10"/>
        <v>-43257.030000000028</v>
      </c>
      <c r="AS20" s="104" t="str">
        <f>DPBH!AS11</f>
        <v>Savings Identified</v>
      </c>
      <c r="AT20" s="116" t="str">
        <f>DPBH!AT11</f>
        <v>The 23LCCMS01 project has been completed. A request to deobligate the remaining balance of $43,257.03 and redirect the savings to 24FPROS01 was submitted on 4/27/2026.</v>
      </c>
    </row>
    <row r="21" spans="1:46" ht="144" x14ac:dyDescent="0.3">
      <c r="A21" s="43" t="s">
        <v>87</v>
      </c>
      <c r="B21" s="43" t="s">
        <v>88</v>
      </c>
      <c r="C21" s="55" t="s">
        <v>109</v>
      </c>
      <c r="D21" s="6" t="s">
        <v>90</v>
      </c>
      <c r="E21" s="6" t="s">
        <v>65</v>
      </c>
      <c r="F21" s="44" t="s">
        <v>110</v>
      </c>
      <c r="G21" s="7">
        <v>44790</v>
      </c>
      <c r="H21" s="7">
        <v>46387</v>
      </c>
      <c r="I21" s="12">
        <v>3234</v>
      </c>
      <c r="J21" s="9">
        <v>23</v>
      </c>
      <c r="K21" s="11">
        <f>10000000+3700000+1600000+5500000</f>
        <v>20800000</v>
      </c>
      <c r="L21" s="10"/>
      <c r="M21" s="10"/>
      <c r="N21" s="10">
        <f t="shared" si="3"/>
        <v>20800000</v>
      </c>
      <c r="O21" s="10"/>
      <c r="P21" s="10"/>
      <c r="Q21" s="10"/>
      <c r="R21" s="10"/>
      <c r="S21" s="10"/>
      <c r="T21" s="10"/>
      <c r="U21" s="10">
        <f t="shared" si="4"/>
        <v>0</v>
      </c>
      <c r="V21" s="11">
        <f t="shared" si="5"/>
        <v>20800000</v>
      </c>
      <c r="W21" s="10"/>
      <c r="X21" s="10"/>
      <c r="Y21" s="10">
        <v>4661930.9400000004</v>
      </c>
      <c r="Z21" s="10">
        <v>2517080.94</v>
      </c>
      <c r="AA21" s="10">
        <v>3263651.78</v>
      </c>
      <c r="AB21" s="10">
        <v>6352663.4399999995</v>
      </c>
      <c r="AC21" s="10">
        <v>0</v>
      </c>
      <c r="AD21" s="10">
        <f t="shared" si="6"/>
        <v>16795327.100000001</v>
      </c>
      <c r="AE21" s="10">
        <f t="shared" si="7"/>
        <v>4004672.8999999985</v>
      </c>
      <c r="AF21" s="45">
        <f t="shared" si="8"/>
        <v>0.80746764903846158</v>
      </c>
      <c r="AG21" s="106" t="str">
        <f>DPBH!AG12</f>
        <v>N/A</v>
      </c>
      <c r="AH21" s="106">
        <f>DPBH!AH12</f>
        <v>133067.72</v>
      </c>
      <c r="AI21" s="106">
        <f>DPBH!AI12</f>
        <v>399203.16</v>
      </c>
      <c r="AJ21" s="106">
        <f>DPBH!AJ12</f>
        <v>578733.67000000004</v>
      </c>
      <c r="AK21" s="106">
        <f>DPBH!AK12</f>
        <v>578733.67000000004</v>
      </c>
      <c r="AL21" s="106">
        <f>DPBH!AL12</f>
        <v>578733.67000000004</v>
      </c>
      <c r="AM21" s="106">
        <f>DPBH!AM12</f>
        <v>723417.08</v>
      </c>
      <c r="AN21" s="106">
        <f>DPBH!AN12</f>
        <v>723417.09</v>
      </c>
      <c r="AO21" s="106">
        <f>DPBH!AO12</f>
        <v>289366.84000000003</v>
      </c>
      <c r="AP21" s="106" t="str">
        <f>DPBH!AP12</f>
        <v> </v>
      </c>
      <c r="AQ21" s="105">
        <f t="shared" si="9"/>
        <v>4004672.9</v>
      </c>
      <c r="AR21" s="105">
        <f t="shared" si="10"/>
        <v>0</v>
      </c>
      <c r="AS21" s="104" t="str">
        <f>DPBH!AS12</f>
        <v>On Track</v>
      </c>
      <c r="AT21" s="116" t="str">
        <f>DPBH!AT12</f>
        <v>Washoe: NNPH is on time and under budget - The ribbon cutting ceremony occurred April 23. An additional SOW has been submitted for review and approval.
Carson: CCHHS On track for project completion in November 2026.
Churchill: The project is 95% to completion. On target to complete project as expected.</v>
      </c>
    </row>
    <row r="22" spans="1:46" ht="100.8" x14ac:dyDescent="0.3">
      <c r="A22" s="43" t="s">
        <v>87</v>
      </c>
      <c r="B22" s="43" t="s">
        <v>88</v>
      </c>
      <c r="C22" s="56" t="s">
        <v>111</v>
      </c>
      <c r="D22" s="6" t="s">
        <v>90</v>
      </c>
      <c r="E22" s="6" t="s">
        <v>65</v>
      </c>
      <c r="F22" s="44" t="s">
        <v>112</v>
      </c>
      <c r="G22" s="7">
        <v>44854</v>
      </c>
      <c r="H22" s="7">
        <v>46326</v>
      </c>
      <c r="I22" s="9">
        <v>3222</v>
      </c>
      <c r="J22" s="9">
        <v>33</v>
      </c>
      <c r="K22" s="11">
        <v>3953689</v>
      </c>
      <c r="L22" s="10"/>
      <c r="M22" s="10"/>
      <c r="N22" s="10">
        <f t="shared" si="3"/>
        <v>3953689</v>
      </c>
      <c r="O22" s="10"/>
      <c r="P22" s="10"/>
      <c r="Q22" s="10"/>
      <c r="R22" s="10"/>
      <c r="S22" s="10"/>
      <c r="T22" s="10"/>
      <c r="U22" s="10">
        <f t="shared" si="4"/>
        <v>0</v>
      </c>
      <c r="V22" s="11">
        <f t="shared" si="5"/>
        <v>3953689</v>
      </c>
      <c r="W22" s="10"/>
      <c r="X22" s="10"/>
      <c r="Y22" s="10"/>
      <c r="Z22" s="10">
        <v>820927.41</v>
      </c>
      <c r="AA22" s="10">
        <v>1889733.67</v>
      </c>
      <c r="AB22" s="10">
        <v>968761.75999999989</v>
      </c>
      <c r="AC22" s="10"/>
      <c r="AD22" s="10">
        <f t="shared" si="6"/>
        <v>3679422.84</v>
      </c>
      <c r="AE22" s="10">
        <f t="shared" si="7"/>
        <v>274266.16000000015</v>
      </c>
      <c r="AF22" s="45">
        <f t="shared" si="8"/>
        <v>0.93063031513100802</v>
      </c>
      <c r="AG22" s="106" t="str">
        <f>DPBH!AG13</f>
        <v>N/A</v>
      </c>
      <c r="AH22" s="106">
        <f>DPBH!AH13</f>
        <v>117895.36</v>
      </c>
      <c r="AI22" s="106">
        <f>DPBH!AI13</f>
        <v>13030.9</v>
      </c>
      <c r="AJ22" s="106">
        <f>DPBH!AJ13</f>
        <v>39092.699999999997</v>
      </c>
      <c r="AK22" s="106">
        <f>DPBH!AK13</f>
        <v>19546.349999999999</v>
      </c>
      <c r="AL22" s="106">
        <f>DPBH!AL13</f>
        <v>26061.8</v>
      </c>
      <c r="AM22" s="106">
        <f>DPBH!AM13</f>
        <v>58639.05</v>
      </c>
      <c r="AN22" s="107"/>
      <c r="AO22" s="107"/>
      <c r="AP22" s="107"/>
      <c r="AQ22" s="105">
        <f t="shared" si="9"/>
        <v>274266.15999999997</v>
      </c>
      <c r="AR22" s="105">
        <f t="shared" si="10"/>
        <v>0</v>
      </c>
      <c r="AS22" s="104" t="str">
        <f>DPBH!AS13</f>
        <v> </v>
      </c>
      <c r="AT22" s="116" t="str">
        <f>DPBH!AT13</f>
        <v>Spend down is on track; 3 of the 5 remaining disorders will be added to the panel after the building certificate of occupancy is granted in October 2026 as equipment can't be set up until they are in the new building. NSPHL states they will completely spend down by end of performance period.</v>
      </c>
    </row>
    <row r="23" spans="1:46" ht="86.4" x14ac:dyDescent="0.3">
      <c r="A23" s="43" t="s">
        <v>87</v>
      </c>
      <c r="B23" s="43" t="s">
        <v>88</v>
      </c>
      <c r="C23" s="56" t="s">
        <v>113</v>
      </c>
      <c r="D23" s="6" t="s">
        <v>90</v>
      </c>
      <c r="E23" s="6" t="s">
        <v>65</v>
      </c>
      <c r="F23" s="44" t="s">
        <v>114</v>
      </c>
      <c r="G23" s="7">
        <v>44854</v>
      </c>
      <c r="H23" s="7">
        <v>46295</v>
      </c>
      <c r="I23" s="12">
        <v>3161</v>
      </c>
      <c r="J23" s="9">
        <v>63</v>
      </c>
      <c r="K23" s="11">
        <v>10000000</v>
      </c>
      <c r="L23" s="10"/>
      <c r="M23" s="10"/>
      <c r="N23" s="10">
        <f t="shared" si="3"/>
        <v>10000000</v>
      </c>
      <c r="O23" s="10"/>
      <c r="P23" s="10"/>
      <c r="Q23" s="10"/>
      <c r="R23" s="10"/>
      <c r="S23" s="10"/>
      <c r="T23" s="10"/>
      <c r="U23" s="10">
        <f t="shared" si="4"/>
        <v>0</v>
      </c>
      <c r="V23" s="11">
        <f t="shared" si="5"/>
        <v>10000000</v>
      </c>
      <c r="W23" s="10"/>
      <c r="X23" s="10"/>
      <c r="Y23" s="10"/>
      <c r="Z23" s="10">
        <v>0</v>
      </c>
      <c r="AA23" s="10">
        <v>1648607.93</v>
      </c>
      <c r="AB23" s="10">
        <v>7431628.3299999991</v>
      </c>
      <c r="AC23" s="10"/>
      <c r="AD23" s="10">
        <f t="shared" si="6"/>
        <v>9080236.2599999998</v>
      </c>
      <c r="AE23" s="10">
        <f t="shared" si="7"/>
        <v>919763.74000000022</v>
      </c>
      <c r="AF23" s="45">
        <f t="shared" si="8"/>
        <v>0.90802362599999997</v>
      </c>
      <c r="AG23" s="106" t="str">
        <f>DPBH!AG14</f>
        <v>N/A</v>
      </c>
      <c r="AH23" s="106">
        <f>DPBH!AH14</f>
        <v>183952.75</v>
      </c>
      <c r="AI23" s="106">
        <f>DPBH!AI14</f>
        <v>275929.13</v>
      </c>
      <c r="AJ23" s="106">
        <f>DPBH!AJ14</f>
        <v>229940.94</v>
      </c>
      <c r="AK23" s="106">
        <f>DPBH!AK14</f>
        <v>137964.56</v>
      </c>
      <c r="AL23" s="106">
        <f>DPBH!AL14</f>
        <v>91976.36</v>
      </c>
      <c r="AM23" s="107"/>
      <c r="AN23" s="107"/>
      <c r="AO23" s="107"/>
      <c r="AP23" s="107"/>
      <c r="AQ23" s="105">
        <f t="shared" si="9"/>
        <v>919763.74000000011</v>
      </c>
      <c r="AR23" s="105">
        <f t="shared" si="10"/>
        <v>0</v>
      </c>
      <c r="AS23" s="104" t="str">
        <f>DPBH!AS14</f>
        <v>On Track</v>
      </c>
      <c r="AT23" s="116" t="str">
        <f>DPBH!AT14</f>
        <v>Project is ongoing and spending has increased rapidly, with $9,080,236.26 in expenditures as of June, 2026.  Expected to fully spend down by end of project period. Projections based previously expended funds and coordination with subrecipient.</v>
      </c>
    </row>
    <row r="24" spans="1:46" ht="115.2" x14ac:dyDescent="0.3">
      <c r="A24" s="43" t="s">
        <v>87</v>
      </c>
      <c r="B24" s="43" t="s">
        <v>88</v>
      </c>
      <c r="C24" s="56" t="s">
        <v>115</v>
      </c>
      <c r="D24" s="6" t="s">
        <v>90</v>
      </c>
      <c r="E24" s="6" t="s">
        <v>65</v>
      </c>
      <c r="F24" s="44" t="s">
        <v>116</v>
      </c>
      <c r="G24" s="7">
        <v>44927</v>
      </c>
      <c r="H24" s="7">
        <v>46387</v>
      </c>
      <c r="I24" s="12">
        <v>3224</v>
      </c>
      <c r="J24" s="9" t="s">
        <v>117</v>
      </c>
      <c r="K24" s="11">
        <v>6446148</v>
      </c>
      <c r="L24" s="10"/>
      <c r="M24" s="10"/>
      <c r="N24" s="10">
        <f t="shared" si="3"/>
        <v>6446148</v>
      </c>
      <c r="O24" s="10"/>
      <c r="P24" s="10"/>
      <c r="Q24" s="10"/>
      <c r="R24" s="10"/>
      <c r="S24" s="10"/>
      <c r="T24" s="10"/>
      <c r="U24" s="10">
        <f t="shared" si="4"/>
        <v>0</v>
      </c>
      <c r="V24" s="11">
        <f t="shared" si="5"/>
        <v>6446148</v>
      </c>
      <c r="W24" s="10"/>
      <c r="X24" s="10"/>
      <c r="Y24" s="10">
        <v>105015.49</v>
      </c>
      <c r="Z24" s="10">
        <v>1191335.8299999998</v>
      </c>
      <c r="AA24" s="10">
        <v>1489526.7499999998</v>
      </c>
      <c r="AB24" s="10">
        <v>774530.10000000009</v>
      </c>
      <c r="AC24" s="10"/>
      <c r="AD24" s="10">
        <f t="shared" si="6"/>
        <v>3560408.1699999995</v>
      </c>
      <c r="AE24" s="10">
        <f t="shared" si="7"/>
        <v>2885739.8300000005</v>
      </c>
      <c r="AF24" s="45">
        <f t="shared" si="8"/>
        <v>0.55233112395185457</v>
      </c>
      <c r="AG24" s="106" t="str">
        <f>DPBH!AG15</f>
        <v>N/A</v>
      </c>
      <c r="AH24" s="106">
        <f>DPBH!AH15</f>
        <v>71591.839999999997</v>
      </c>
      <c r="AI24" s="106">
        <f>DPBH!AI15</f>
        <v>365368.85</v>
      </c>
      <c r="AJ24" s="106">
        <f>DPBH!AJ15</f>
        <v>408129.86</v>
      </c>
      <c r="AK24" s="106">
        <f>DPBH!AK15</f>
        <v>408129.86</v>
      </c>
      <c r="AL24" s="106">
        <f>DPBH!AL15</f>
        <v>408129.86</v>
      </c>
      <c r="AM24" s="106">
        <f>DPBH!AM15</f>
        <v>408129.86</v>
      </c>
      <c r="AN24" s="106">
        <f>DPBH!AN15</f>
        <v>408129.86</v>
      </c>
      <c r="AO24" s="106">
        <f>DPBH!AO15</f>
        <v>408129.84</v>
      </c>
      <c r="AP24" s="106" t="str">
        <f>DPBH!AP15</f>
        <v> </v>
      </c>
      <c r="AQ24" s="105">
        <f t="shared" si="9"/>
        <v>2885739.8299999996</v>
      </c>
      <c r="AR24" s="105">
        <f t="shared" si="10"/>
        <v>0</v>
      </c>
      <c r="AS24" s="104" t="str">
        <f>DPBH!AS15</f>
        <v>On Track</v>
      </c>
      <c r="AT24" s="116" t="str">
        <f>DPBH!AT15</f>
        <v xml:space="preserve">All three subgrantees have submitted spend plans for the entirety of the project period; spend plans submitted are based by SFY, hence the projections have been broken out monthly based on subrecipients projections. Spend plans ascertain they will fully expend their award amounts by the end of the project period, December 31, 2026. </v>
      </c>
    </row>
    <row r="25" spans="1:46" ht="187.2" x14ac:dyDescent="0.3">
      <c r="A25" s="43" t="s">
        <v>87</v>
      </c>
      <c r="B25" s="43" t="s">
        <v>88</v>
      </c>
      <c r="C25" s="56" t="s">
        <v>118</v>
      </c>
      <c r="D25" s="6" t="s">
        <v>90</v>
      </c>
      <c r="E25" s="6" t="s">
        <v>65</v>
      </c>
      <c r="F25" s="44" t="s">
        <v>119</v>
      </c>
      <c r="G25" s="7">
        <v>45273</v>
      </c>
      <c r="H25" s="7">
        <v>46387</v>
      </c>
      <c r="I25" s="9">
        <v>3645</v>
      </c>
      <c r="J25" s="9">
        <v>62</v>
      </c>
      <c r="K25" s="11">
        <v>4920000</v>
      </c>
      <c r="L25" s="10"/>
      <c r="M25" s="10"/>
      <c r="N25" s="10">
        <f t="shared" si="3"/>
        <v>4920000</v>
      </c>
      <c r="O25" s="10">
        <v>660000</v>
      </c>
      <c r="P25" s="10"/>
      <c r="Q25" s="10">
        <f>744094</f>
        <v>744094</v>
      </c>
      <c r="R25" s="10"/>
      <c r="S25" s="10"/>
      <c r="T25" s="10"/>
      <c r="U25" s="10">
        <f t="shared" si="4"/>
        <v>1404094</v>
      </c>
      <c r="V25" s="11">
        <f t="shared" si="5"/>
        <v>3515906</v>
      </c>
      <c r="W25" s="10"/>
      <c r="X25" s="10"/>
      <c r="Y25" s="10"/>
      <c r="Z25" s="10">
        <v>127478.69</v>
      </c>
      <c r="AA25" s="10">
        <v>1251293.04</v>
      </c>
      <c r="AB25" s="10">
        <v>1132091.1499999999</v>
      </c>
      <c r="AC25" s="10"/>
      <c r="AD25" s="10">
        <f t="shared" si="6"/>
        <v>2510862.88</v>
      </c>
      <c r="AE25" s="10">
        <f t="shared" si="7"/>
        <v>1005043.1200000001</v>
      </c>
      <c r="AF25" s="45">
        <f t="shared" si="8"/>
        <v>0.7141439162480453</v>
      </c>
      <c r="AG25" s="106" t="str">
        <f>DPBH!AG16</f>
        <v>N/A</v>
      </c>
      <c r="AH25" s="106">
        <f>DPBH!AH16</f>
        <v>125630.39</v>
      </c>
      <c r="AI25" s="106">
        <f>DPBH!AI16</f>
        <v>125630.39</v>
      </c>
      <c r="AJ25" s="106">
        <f>DPBH!AJ16</f>
        <v>125630.39</v>
      </c>
      <c r="AK25" s="106">
        <f>DPBH!AK16</f>
        <v>125630.39</v>
      </c>
      <c r="AL25" s="106">
        <f>DPBH!AL16</f>
        <v>125630.39</v>
      </c>
      <c r="AM25" s="106">
        <f>DPBH!AM16</f>
        <v>125630.39</v>
      </c>
      <c r="AN25" s="106">
        <f>DPBH!AN16</f>
        <v>125630.39</v>
      </c>
      <c r="AO25" s="106">
        <f>DPBH!AO16</f>
        <v>125630.39</v>
      </c>
      <c r="AP25" s="106" t="str">
        <f>DPBH!AP16</f>
        <v> </v>
      </c>
      <c r="AQ25" s="105">
        <f t="shared" si="9"/>
        <v>1005043.12</v>
      </c>
      <c r="AR25" s="105">
        <f t="shared" si="10"/>
        <v>0</v>
      </c>
      <c r="AS25" s="104" t="str">
        <f>DPBH!AS16</f>
        <v>On Track</v>
      </c>
      <c r="AT25" s="116" t="str">
        <f>DPBH!AT16</f>
        <v>Project is on track and has become destination for de-obligated funds to support ability to spend. A request to deobligate the remaining balance of $43,257.03 from 23LCCMS01 and redirect the savings to 24FPROS01 was submitted on 4/27/2026. A request is to transfer $479,379 from 24SNFLT01 to 24FPROS01. The associated work programs (#27FRF31611 and #27FRF36452) are in process. Additional allocations to spend plan will be included in projections when funds become available for project.</v>
      </c>
    </row>
    <row r="26" spans="1:46" ht="57.6" x14ac:dyDescent="0.3">
      <c r="A26" s="43" t="s">
        <v>87</v>
      </c>
      <c r="B26" s="43" t="s">
        <v>88</v>
      </c>
      <c r="C26" s="54" t="s">
        <v>120</v>
      </c>
      <c r="D26" s="6" t="s">
        <v>90</v>
      </c>
      <c r="E26" s="6" t="s">
        <v>65</v>
      </c>
      <c r="F26" s="44" t="s">
        <v>121</v>
      </c>
      <c r="G26" s="7">
        <v>45273</v>
      </c>
      <c r="H26" s="7">
        <v>46387</v>
      </c>
      <c r="I26" s="9">
        <v>3161</v>
      </c>
      <c r="J26" s="9">
        <v>64</v>
      </c>
      <c r="K26" s="11">
        <v>14905281</v>
      </c>
      <c r="L26" s="11">
        <f>2939148+221588.96+530360.14</f>
        <v>3691097.1</v>
      </c>
      <c r="M26" s="10"/>
      <c r="N26" s="10">
        <f t="shared" si="3"/>
        <v>18596378.100000001</v>
      </c>
      <c r="O26" s="10"/>
      <c r="P26" s="10"/>
      <c r="Q26" s="10"/>
      <c r="R26" s="10"/>
      <c r="S26" s="10"/>
      <c r="T26" s="10"/>
      <c r="U26" s="10">
        <f t="shared" si="4"/>
        <v>0</v>
      </c>
      <c r="V26" s="11">
        <f t="shared" si="5"/>
        <v>18596378.100000001</v>
      </c>
      <c r="W26" s="10"/>
      <c r="X26" s="10"/>
      <c r="Y26" s="10"/>
      <c r="Z26" s="10">
        <v>375456.73</v>
      </c>
      <c r="AA26" s="10">
        <v>9082223.2999999989</v>
      </c>
      <c r="AB26" s="10">
        <v>4927185.01</v>
      </c>
      <c r="AC26" s="10"/>
      <c r="AD26" s="10">
        <f t="shared" si="6"/>
        <v>14384865.039999999</v>
      </c>
      <c r="AE26" s="10">
        <f t="shared" si="7"/>
        <v>4211513.0600000024</v>
      </c>
      <c r="AF26" s="45">
        <f t="shared" si="8"/>
        <v>0.77353046720425622</v>
      </c>
      <c r="AG26" s="106" t="str">
        <f>DPBH!AG17</f>
        <v>N/A</v>
      </c>
      <c r="AH26" s="106">
        <f>DPBH!AH17</f>
        <v>1121255.6000000001</v>
      </c>
      <c r="AI26" s="106">
        <f>DPBH!AI17</f>
        <v>735775.59</v>
      </c>
      <c r="AJ26" s="106">
        <f>DPBH!AJ17</f>
        <v>631540.71</v>
      </c>
      <c r="AK26" s="106">
        <f>DPBH!AK17</f>
        <v>564094.62</v>
      </c>
      <c r="AL26" s="106">
        <f>DPBH!AL17</f>
        <v>441465.35</v>
      </c>
      <c r="AM26" s="106">
        <f>DPBH!AM17</f>
        <v>340290.2</v>
      </c>
      <c r="AN26" s="106">
        <f>DPBH!AN17</f>
        <v>266724.65000000002</v>
      </c>
      <c r="AO26" s="106">
        <f>DPBH!AO17</f>
        <v>110366.34</v>
      </c>
      <c r="AP26" s="106" t="str">
        <f>DPBH!AP17</f>
        <v> </v>
      </c>
      <c r="AQ26" s="105">
        <f t="shared" si="9"/>
        <v>4211513.0600000005</v>
      </c>
      <c r="AR26" s="105">
        <f t="shared" si="10"/>
        <v>0</v>
      </c>
      <c r="AS26" s="104" t="str">
        <f>DPBH!AS17</f>
        <v>On Track</v>
      </c>
      <c r="AT26" s="116" t="str">
        <f>DPBH!AT17</f>
        <v>Project is on track to fully spend down by the end of the performance period.  Continues to be an option for re-allocated funds due to continued ability to spend additional funds.</v>
      </c>
    </row>
    <row r="27" spans="1:46" ht="86.4" x14ac:dyDescent="0.3">
      <c r="A27" s="43" t="s">
        <v>87</v>
      </c>
      <c r="B27" s="43" t="s">
        <v>88</v>
      </c>
      <c r="C27" s="72" t="s">
        <v>122</v>
      </c>
      <c r="D27" s="6" t="s">
        <v>90</v>
      </c>
      <c r="E27" s="6" t="s">
        <v>65</v>
      </c>
      <c r="F27" s="44" t="s">
        <v>123</v>
      </c>
      <c r="G27" s="7">
        <v>45247</v>
      </c>
      <c r="H27" s="7">
        <v>46387</v>
      </c>
      <c r="I27" s="9">
        <v>3161</v>
      </c>
      <c r="J27" s="9">
        <v>65</v>
      </c>
      <c r="K27" s="11">
        <v>5716150</v>
      </c>
      <c r="L27" s="10"/>
      <c r="M27" s="10"/>
      <c r="N27" s="10">
        <f t="shared" si="3"/>
        <v>5716150</v>
      </c>
      <c r="O27" s="10"/>
      <c r="P27" s="10"/>
      <c r="Q27" s="10">
        <v>593974</v>
      </c>
      <c r="R27" s="10">
        <v>2721280</v>
      </c>
      <c r="S27" s="10"/>
      <c r="T27" s="10"/>
      <c r="U27" s="10">
        <f t="shared" si="4"/>
        <v>3315254</v>
      </c>
      <c r="V27" s="11">
        <f t="shared" si="5"/>
        <v>2400896</v>
      </c>
      <c r="W27" s="10"/>
      <c r="X27" s="10"/>
      <c r="Y27" s="10"/>
      <c r="Z27" s="10">
        <v>192214.88</v>
      </c>
      <c r="AA27" s="10">
        <v>644083.94000000006</v>
      </c>
      <c r="AB27" s="10">
        <v>489676.10000000003</v>
      </c>
      <c r="AC27" s="10"/>
      <c r="AD27" s="10">
        <f t="shared" si="6"/>
        <v>1325974.9200000002</v>
      </c>
      <c r="AE27" s="10">
        <f t="shared" si="7"/>
        <v>1074921.0799999998</v>
      </c>
      <c r="AF27" s="45">
        <f t="shared" si="8"/>
        <v>0.55228336421069479</v>
      </c>
      <c r="AG27" s="106" t="str">
        <f>DPBH!AG18</f>
        <v>N/A</v>
      </c>
      <c r="AH27" s="106">
        <f>DPBH!AH18</f>
        <v>115504.2</v>
      </c>
      <c r="AI27" s="106">
        <f>DPBH!AI18</f>
        <v>106659.86</v>
      </c>
      <c r="AJ27" s="106">
        <f>DPBH!AJ18</f>
        <v>62229.67</v>
      </c>
      <c r="AK27" s="106">
        <f>DPBH!AK18</f>
        <v>62229.67</v>
      </c>
      <c r="AL27" s="106">
        <f>DPBH!AL18</f>
        <v>62229.67</v>
      </c>
      <c r="AM27" s="106">
        <f>DPBH!AM18</f>
        <v>62229.67</v>
      </c>
      <c r="AN27" s="106">
        <f>DPBH!AN18</f>
        <v>62229.67</v>
      </c>
      <c r="AO27" s="106">
        <f>DPBH!AO18</f>
        <v>62229.67</v>
      </c>
      <c r="AP27" s="106" t="str">
        <f>DPBH!AP18</f>
        <v> </v>
      </c>
      <c r="AQ27" s="105">
        <f t="shared" si="9"/>
        <v>595542.07999999996</v>
      </c>
      <c r="AR27" s="105">
        <f t="shared" si="10"/>
        <v>-479378.99999999988</v>
      </c>
      <c r="AS27" s="104" t="str">
        <f>DPBH!AS18</f>
        <v>Savings Identified</v>
      </c>
      <c r="AT27" s="116" t="str">
        <f>DPBH!AT18</f>
        <v>24SNFLT01 savings are due to competitive rates with current community providers. A request is to transfer $479,379 from
24SNFLT01 to 24FPROS01. The associated work programs (#27FRF31611 and #27FRF36452) are in process.</v>
      </c>
    </row>
    <row r="28" spans="1:46" ht="57.6" x14ac:dyDescent="0.3">
      <c r="A28" s="43" t="s">
        <v>124</v>
      </c>
      <c r="B28" s="43" t="s">
        <v>125</v>
      </c>
      <c r="C28" s="56" t="s">
        <v>126</v>
      </c>
      <c r="D28" s="6" t="s">
        <v>127</v>
      </c>
      <c r="E28" s="6" t="s">
        <v>65</v>
      </c>
      <c r="F28" s="44" t="s">
        <v>128</v>
      </c>
      <c r="G28" s="7">
        <v>44859</v>
      </c>
      <c r="H28" s="7">
        <v>46387</v>
      </c>
      <c r="I28" s="9">
        <v>3228</v>
      </c>
      <c r="J28" s="9">
        <v>53</v>
      </c>
      <c r="K28" s="11">
        <v>3112296</v>
      </c>
      <c r="L28" s="10"/>
      <c r="M28" s="10">
        <v>9387704</v>
      </c>
      <c r="N28" s="10">
        <f t="shared" si="3"/>
        <v>12500000</v>
      </c>
      <c r="O28" s="10"/>
      <c r="P28" s="10"/>
      <c r="Q28" s="10"/>
      <c r="R28" s="10"/>
      <c r="S28" s="10"/>
      <c r="T28" s="10"/>
      <c r="U28" s="10">
        <f t="shared" si="4"/>
        <v>0</v>
      </c>
      <c r="V28" s="11">
        <f t="shared" si="5"/>
        <v>12500000</v>
      </c>
      <c r="W28" s="10"/>
      <c r="X28" s="10"/>
      <c r="Y28" s="10"/>
      <c r="Z28" s="10">
        <v>4148997.17</v>
      </c>
      <c r="AA28" s="10">
        <v>3964544.8200000003</v>
      </c>
      <c r="AB28" s="10">
        <v>1894081.81</v>
      </c>
      <c r="AC28" s="10"/>
      <c r="AD28" s="10">
        <f t="shared" si="6"/>
        <v>10007623.800000001</v>
      </c>
      <c r="AE28" s="10">
        <f t="shared" si="7"/>
        <v>2492376.1999999993</v>
      </c>
      <c r="AF28" s="45">
        <f t="shared" si="8"/>
        <v>0.80060990400000009</v>
      </c>
      <c r="AG28" s="106">
        <f>DSS!AG4</f>
        <v>0</v>
      </c>
      <c r="AH28" s="106">
        <f>DSS!AH4</f>
        <v>184527.06</v>
      </c>
      <c r="AI28" s="106">
        <f>DSS!AI4</f>
        <v>1637126</v>
      </c>
      <c r="AJ28" s="106">
        <f>DSS!AJ4</f>
        <v>350625</v>
      </c>
      <c r="AK28" s="106">
        <f>DSS!AK4</f>
        <v>111787</v>
      </c>
      <c r="AL28" s="106">
        <f>DSS!AL4</f>
        <v>124320</v>
      </c>
      <c r="AM28" s="106">
        <f>DSS!AM4</f>
        <v>83991.14</v>
      </c>
      <c r="AN28" s="106">
        <f>DSS!AN4</f>
        <v>0</v>
      </c>
      <c r="AO28" s="106">
        <f>DSS!AO4</f>
        <v>0</v>
      </c>
      <c r="AP28" s="106" t="str">
        <f>DSS!AP4</f>
        <v> </v>
      </c>
      <c r="AQ28" s="105">
        <f t="shared" si="9"/>
        <v>2492376.2000000002</v>
      </c>
      <c r="AR28" s="105">
        <f t="shared" si="10"/>
        <v>0</v>
      </c>
      <c r="AS28" s="104" t="str">
        <f>DSS!AS4</f>
        <v>On Track</v>
      </c>
      <c r="AT28" s="116" t="str">
        <f>DSS!AT4</f>
        <v>Projections are based on monthly deliverables and remaining billing to address M&amp;O production defect resolution through 12/31/2026</v>
      </c>
    </row>
    <row r="29" spans="1:46" x14ac:dyDescent="0.3">
      <c r="A29" s="43" t="s">
        <v>124</v>
      </c>
      <c r="B29" s="43" t="s">
        <v>129</v>
      </c>
      <c r="C29" s="56" t="s">
        <v>130</v>
      </c>
      <c r="D29" s="6" t="s">
        <v>127</v>
      </c>
      <c r="E29" s="6" t="s">
        <v>65</v>
      </c>
      <c r="F29" s="44" t="s">
        <v>131</v>
      </c>
      <c r="G29" s="7">
        <v>44687</v>
      </c>
      <c r="H29" s="7">
        <v>46387</v>
      </c>
      <c r="I29" s="12">
        <v>3267</v>
      </c>
      <c r="J29" s="9">
        <v>55</v>
      </c>
      <c r="K29" s="11">
        <v>30000000</v>
      </c>
      <c r="L29" s="10"/>
      <c r="M29" s="10"/>
      <c r="N29" s="10">
        <f t="shared" si="3"/>
        <v>30000000</v>
      </c>
      <c r="O29" s="10"/>
      <c r="P29" s="10"/>
      <c r="Q29" s="10"/>
      <c r="R29" s="10"/>
      <c r="S29" s="10"/>
      <c r="T29" s="10"/>
      <c r="U29" s="10">
        <f t="shared" si="4"/>
        <v>0</v>
      </c>
      <c r="V29" s="11">
        <f t="shared" si="5"/>
        <v>30000000</v>
      </c>
      <c r="W29" s="10"/>
      <c r="X29" s="10"/>
      <c r="Y29" s="10">
        <v>8455742.5600000005</v>
      </c>
      <c r="Z29" s="10">
        <v>11363038.519999998</v>
      </c>
      <c r="AA29" s="10">
        <v>5323464.9200000009</v>
      </c>
      <c r="AB29" s="10">
        <v>3958163.78</v>
      </c>
      <c r="AC29" s="10"/>
      <c r="AD29" s="10">
        <f t="shared" si="6"/>
        <v>29100409.780000001</v>
      </c>
      <c r="AE29" s="10">
        <f t="shared" si="7"/>
        <v>899590.21999999881</v>
      </c>
      <c r="AF29" s="45">
        <f t="shared" si="8"/>
        <v>0.97001365933333339</v>
      </c>
      <c r="AG29" s="106">
        <f>DSS!AG5</f>
        <v>0</v>
      </c>
      <c r="AH29" s="106">
        <f>DSS!AH5</f>
        <v>387477.73</v>
      </c>
      <c r="AI29" s="106">
        <f>DSS!AI5</f>
        <v>343559.14</v>
      </c>
      <c r="AJ29" s="106">
        <f>DSS!AJ5</f>
        <v>138953.84</v>
      </c>
      <c r="AK29" s="106">
        <f>DSS!AK5</f>
        <v>10008.64</v>
      </c>
      <c r="AL29" s="106">
        <f>DSS!AL5</f>
        <v>9757.7900000000009</v>
      </c>
      <c r="AM29" s="106">
        <f>DSS!AM5</f>
        <v>6256.84</v>
      </c>
      <c r="AN29" s="106">
        <f>DSS!AN5</f>
        <v>3576.24</v>
      </c>
      <c r="AO29" s="106" t="str">
        <f>DSS!AO5</f>
        <v> </v>
      </c>
      <c r="AP29" s="106" t="str">
        <f>DSS!AP5</f>
        <v> </v>
      </c>
      <c r="AQ29" s="105">
        <f t="shared" si="9"/>
        <v>899590.22</v>
      </c>
      <c r="AR29" s="105">
        <f t="shared" si="10"/>
        <v>1.1641532182693481E-9</v>
      </c>
      <c r="AS29" s="104" t="str">
        <f>DSS!AS5</f>
        <v>On Track</v>
      </c>
      <c r="AT29" s="116" t="str">
        <f>DSS!AT5</f>
        <v>All subrecipients are on track for spending.</v>
      </c>
    </row>
    <row r="30" spans="1:46" ht="57.6" x14ac:dyDescent="0.3">
      <c r="A30" s="43" t="s">
        <v>124</v>
      </c>
      <c r="B30" s="43" t="s">
        <v>129</v>
      </c>
      <c r="C30" s="54" t="s">
        <v>132</v>
      </c>
      <c r="D30" s="6" t="s">
        <v>127</v>
      </c>
      <c r="E30" s="6" t="s">
        <v>65</v>
      </c>
      <c r="F30" s="44" t="s">
        <v>133</v>
      </c>
      <c r="G30" s="7">
        <v>44854</v>
      </c>
      <c r="H30" s="7">
        <v>46387</v>
      </c>
      <c r="I30" s="12">
        <v>3228</v>
      </c>
      <c r="J30" s="9">
        <v>64</v>
      </c>
      <c r="K30" s="11">
        <v>48510328</v>
      </c>
      <c r="L30" s="10"/>
      <c r="M30" s="10"/>
      <c r="N30" s="10">
        <f t="shared" si="3"/>
        <v>48510328</v>
      </c>
      <c r="O30" s="10"/>
      <c r="P30" s="10"/>
      <c r="Q30" s="10"/>
      <c r="R30" s="10"/>
      <c r="S30" s="10"/>
      <c r="T30" s="10"/>
      <c r="U30" s="10">
        <f t="shared" si="4"/>
        <v>0</v>
      </c>
      <c r="V30" s="11">
        <f t="shared" si="5"/>
        <v>48510328</v>
      </c>
      <c r="W30" s="10"/>
      <c r="X30" s="10"/>
      <c r="Y30" s="10">
        <v>2963017.72</v>
      </c>
      <c r="Z30" s="10">
        <v>6787741.040000001</v>
      </c>
      <c r="AA30" s="10">
        <v>10541855.110000001</v>
      </c>
      <c r="AB30" s="10">
        <v>13551074.369999999</v>
      </c>
      <c r="AC30" s="10"/>
      <c r="AD30" s="10">
        <f t="shared" si="6"/>
        <v>33843688.240000002</v>
      </c>
      <c r="AE30" s="10">
        <f t="shared" si="7"/>
        <v>14666639.759999998</v>
      </c>
      <c r="AF30" s="45">
        <f t="shared" si="8"/>
        <v>0.69765943944967768</v>
      </c>
      <c r="AG30" s="106">
        <f>DSS!AG6</f>
        <v>0</v>
      </c>
      <c r="AH30" s="106">
        <f>DSS!AH6</f>
        <v>508374.82</v>
      </c>
      <c r="AI30" s="106">
        <f>DSS!AI6</f>
        <v>5562588.3600000003</v>
      </c>
      <c r="AJ30" s="106">
        <f>DSS!AJ6</f>
        <v>2517341.9</v>
      </c>
      <c r="AK30" s="106">
        <f>DSS!AK6</f>
        <v>2517341.9</v>
      </c>
      <c r="AL30" s="106">
        <f>DSS!AL6</f>
        <v>1517341.9</v>
      </c>
      <c r="AM30" s="106">
        <f>DSS!AM6</f>
        <v>1475709.88</v>
      </c>
      <c r="AN30" s="106">
        <f>DSS!AN6</f>
        <v>317941</v>
      </c>
      <c r="AO30" s="106">
        <f>DSS!AO6</f>
        <v>250000</v>
      </c>
      <c r="AP30" s="106" t="str">
        <f>DSS!AP6</f>
        <v> </v>
      </c>
      <c r="AQ30" s="105">
        <f t="shared" si="9"/>
        <v>14666639.760000002</v>
      </c>
      <c r="AR30" s="105">
        <f t="shared" si="10"/>
        <v>0</v>
      </c>
      <c r="AS30" s="104" t="str">
        <f>DSS!AS6</f>
        <v>On Track</v>
      </c>
      <c r="AT30" s="116" t="str">
        <f>DSS!AT6</f>
        <v>Projections are based on monthly contractual/MSA deliverables, Phase III and M&amp;O production defect resolution through 12/31/2026</v>
      </c>
    </row>
    <row r="31" spans="1:46" ht="28.8" x14ac:dyDescent="0.3">
      <c r="A31" s="43" t="s">
        <v>134</v>
      </c>
      <c r="B31" s="43" t="s">
        <v>135</v>
      </c>
      <c r="C31" s="54" t="s">
        <v>136</v>
      </c>
      <c r="D31" s="6" t="s">
        <v>137</v>
      </c>
      <c r="E31" s="6" t="s">
        <v>65</v>
      </c>
      <c r="F31" s="44" t="s">
        <v>138</v>
      </c>
      <c r="G31" s="7">
        <v>44658</v>
      </c>
      <c r="H31" s="7">
        <v>46387</v>
      </c>
      <c r="I31" s="12">
        <v>3646</v>
      </c>
      <c r="J31" s="9">
        <v>48</v>
      </c>
      <c r="K31" s="11">
        <v>916718</v>
      </c>
      <c r="L31" s="10"/>
      <c r="M31" s="10"/>
      <c r="N31" s="10">
        <f t="shared" si="3"/>
        <v>916718</v>
      </c>
      <c r="O31" s="10"/>
      <c r="P31" s="10"/>
      <c r="Q31" s="10"/>
      <c r="R31" s="10"/>
      <c r="S31" s="10"/>
      <c r="T31" s="10"/>
      <c r="U31" s="10">
        <f t="shared" si="4"/>
        <v>0</v>
      </c>
      <c r="V31" s="11">
        <f t="shared" si="5"/>
        <v>916718</v>
      </c>
      <c r="W31" s="10"/>
      <c r="X31" s="10">
        <v>422.52</v>
      </c>
      <c r="Y31" s="10">
        <v>71653.310000000012</v>
      </c>
      <c r="Z31" s="10">
        <v>139935.26999999999</v>
      </c>
      <c r="AA31" s="10">
        <v>244571.99000000002</v>
      </c>
      <c r="AB31" s="10">
        <v>21792.06</v>
      </c>
      <c r="AC31" s="10"/>
      <c r="AD31" s="10">
        <f t="shared" si="6"/>
        <v>478375.15</v>
      </c>
      <c r="AE31" s="10">
        <f t="shared" si="7"/>
        <v>438342.85</v>
      </c>
      <c r="AF31" s="45">
        <f t="shared" si="8"/>
        <v>0.52183457726367322</v>
      </c>
      <c r="AG31" s="106">
        <f>DCFS!AG4</f>
        <v>0</v>
      </c>
      <c r="AH31" s="106">
        <f>DCFS!AH4</f>
        <v>54792.86</v>
      </c>
      <c r="AI31" s="106">
        <f>DCFS!AI4</f>
        <v>54792.86</v>
      </c>
      <c r="AJ31" s="106">
        <f>DCFS!AJ4</f>
        <v>54792.86</v>
      </c>
      <c r="AK31" s="106">
        <f>DCFS!AK4</f>
        <v>54792.86</v>
      </c>
      <c r="AL31" s="106">
        <f>DCFS!AL4</f>
        <v>54792.86</v>
      </c>
      <c r="AM31" s="106">
        <f>DCFS!AM4</f>
        <v>54792.86</v>
      </c>
      <c r="AN31" s="106">
        <f>DCFS!AN4</f>
        <v>54792.86</v>
      </c>
      <c r="AO31" s="106">
        <f>DCFS!AO4</f>
        <v>54792.83</v>
      </c>
      <c r="AP31" s="106">
        <f>DCFS!AP4</f>
        <v>0</v>
      </c>
      <c r="AQ31" s="105">
        <f t="shared" si="9"/>
        <v>438342.85</v>
      </c>
      <c r="AR31" s="105">
        <f t="shared" si="10"/>
        <v>0</v>
      </c>
      <c r="AS31" s="104" t="str">
        <f>DCFS!AS4</f>
        <v>On Track</v>
      </c>
      <c r="AT31" s="116" t="str">
        <f>DCFS!AT4</f>
        <v>Construction has resumed, expect large invoices to be submitted soon.</v>
      </c>
    </row>
    <row r="32" spans="1:46" ht="37.799999999999997" x14ac:dyDescent="0.3">
      <c r="A32" s="43" t="s">
        <v>134</v>
      </c>
      <c r="B32" s="43" t="s">
        <v>135</v>
      </c>
      <c r="C32" s="56" t="s">
        <v>140</v>
      </c>
      <c r="D32" s="6" t="s">
        <v>137</v>
      </c>
      <c r="E32" s="6" t="s">
        <v>65</v>
      </c>
      <c r="F32" s="44" t="s">
        <v>141</v>
      </c>
      <c r="G32" s="7">
        <v>44791</v>
      </c>
      <c r="H32" s="7">
        <v>46387</v>
      </c>
      <c r="I32" s="12">
        <v>3646</v>
      </c>
      <c r="J32" s="9">
        <v>49</v>
      </c>
      <c r="K32" s="11">
        <v>5072061</v>
      </c>
      <c r="L32" s="10"/>
      <c r="M32" s="10"/>
      <c r="N32" s="10">
        <f t="shared" si="3"/>
        <v>5072061</v>
      </c>
      <c r="O32" s="10"/>
      <c r="P32" s="10"/>
      <c r="Q32" s="10"/>
      <c r="R32" s="10"/>
      <c r="S32" s="10"/>
      <c r="T32" s="10"/>
      <c r="U32" s="10">
        <f t="shared" si="4"/>
        <v>0</v>
      </c>
      <c r="V32" s="11">
        <f t="shared" si="5"/>
        <v>5072061</v>
      </c>
      <c r="W32" s="10"/>
      <c r="X32" s="10"/>
      <c r="Y32" s="10">
        <v>155077.79999999999</v>
      </c>
      <c r="Z32" s="10">
        <v>1178187.53</v>
      </c>
      <c r="AA32" s="10">
        <v>1203299.4099999999</v>
      </c>
      <c r="AB32" s="10">
        <v>975949.58000000007</v>
      </c>
      <c r="AC32" s="10"/>
      <c r="AD32" s="10">
        <f t="shared" si="6"/>
        <v>3512514.3200000003</v>
      </c>
      <c r="AE32" s="10">
        <f t="shared" si="7"/>
        <v>1559546.6799999997</v>
      </c>
      <c r="AF32" s="45">
        <f t="shared" si="8"/>
        <v>0.69252209703313905</v>
      </c>
      <c r="AG32" s="106">
        <f>DCFS!AG5</f>
        <v>0</v>
      </c>
      <c r="AH32" s="106">
        <f>DCFS!AH5</f>
        <v>194943.34</v>
      </c>
      <c r="AI32" s="106">
        <f>DCFS!AI5</f>
        <v>194943.34</v>
      </c>
      <c r="AJ32" s="106">
        <f>DCFS!AJ5</f>
        <v>194943.34</v>
      </c>
      <c r="AK32" s="106">
        <f>DCFS!AK5</f>
        <v>194943.34</v>
      </c>
      <c r="AL32" s="106">
        <f>DCFS!AL5</f>
        <v>194943.34</v>
      </c>
      <c r="AM32" s="106">
        <f>DCFS!AM5</f>
        <v>194943.34</v>
      </c>
      <c r="AN32" s="106">
        <f>DCFS!AN5</f>
        <v>194943.34</v>
      </c>
      <c r="AO32" s="106">
        <f>DCFS!AO5</f>
        <v>194943.3</v>
      </c>
      <c r="AP32" s="106">
        <f>DCFS!AP5</f>
        <v>0</v>
      </c>
      <c r="AQ32" s="105">
        <f t="shared" si="9"/>
        <v>1559546.6800000002</v>
      </c>
      <c r="AR32" s="105">
        <f t="shared" si="10"/>
        <v>0</v>
      </c>
      <c r="AS32" s="104" t="str">
        <f>DCFS!AS5</f>
        <v>On Track</v>
      </c>
      <c r="AT32" s="116" t="str">
        <f>DCFS!AT5</f>
        <v>Construction has resumed, expect large invoices to be submitted soon.</v>
      </c>
    </row>
    <row r="33" spans="1:46" ht="72" x14ac:dyDescent="0.3">
      <c r="A33" s="43" t="s">
        <v>134</v>
      </c>
      <c r="B33" s="43" t="s">
        <v>135</v>
      </c>
      <c r="C33" s="56" t="s">
        <v>142</v>
      </c>
      <c r="D33" s="6" t="s">
        <v>143</v>
      </c>
      <c r="E33" s="6" t="s">
        <v>65</v>
      </c>
      <c r="F33" s="44" t="s">
        <v>144</v>
      </c>
      <c r="G33" s="7">
        <v>44791</v>
      </c>
      <c r="H33" s="7">
        <v>46203</v>
      </c>
      <c r="I33" s="12">
        <v>3145</v>
      </c>
      <c r="J33" s="9">
        <v>44</v>
      </c>
      <c r="K33" s="11">
        <v>4198804</v>
      </c>
      <c r="L33" s="10"/>
      <c r="M33" s="10"/>
      <c r="N33" s="10">
        <f t="shared" si="3"/>
        <v>4198804</v>
      </c>
      <c r="O33" s="10"/>
      <c r="P33" s="10"/>
      <c r="Q33" s="10"/>
      <c r="R33" s="10"/>
      <c r="S33" s="10"/>
      <c r="T33" s="10"/>
      <c r="U33" s="10">
        <f t="shared" si="4"/>
        <v>0</v>
      </c>
      <c r="V33" s="11">
        <f t="shared" si="5"/>
        <v>4198804</v>
      </c>
      <c r="W33" s="10"/>
      <c r="X33" s="10"/>
      <c r="Y33" s="10"/>
      <c r="Z33" s="10">
        <v>769154.54</v>
      </c>
      <c r="AA33" s="10">
        <v>106694</v>
      </c>
      <c r="AB33" s="10">
        <v>2160818.5</v>
      </c>
      <c r="AC33" s="10"/>
      <c r="AD33" s="10">
        <f t="shared" si="6"/>
        <v>3036667.04</v>
      </c>
      <c r="AE33" s="10">
        <f t="shared" si="7"/>
        <v>1162136.96</v>
      </c>
      <c r="AF33" s="45">
        <f t="shared" si="8"/>
        <v>0.72322190795283614</v>
      </c>
      <c r="AG33" s="106">
        <f>DCFS!AG6</f>
        <v>0</v>
      </c>
      <c r="AH33" s="106">
        <f>DCFS!AH6</f>
        <v>185919</v>
      </c>
      <c r="AI33" s="106">
        <f>DCFS!AI6</f>
        <v>325406</v>
      </c>
      <c r="AJ33" s="106">
        <f>DCFS!AJ6</f>
        <v>325406</v>
      </c>
      <c r="AK33" s="106">
        <f>DCFS!AK6</f>
        <v>325405.96000000002</v>
      </c>
      <c r="AL33" s="107"/>
      <c r="AM33" s="107"/>
      <c r="AN33" s="107"/>
      <c r="AO33" s="107"/>
      <c r="AP33" s="107"/>
      <c r="AQ33" s="105">
        <f t="shared" si="9"/>
        <v>1162136.96</v>
      </c>
      <c r="AR33" s="105">
        <f t="shared" si="10"/>
        <v>0</v>
      </c>
      <c r="AS33" s="104" t="str">
        <f>DCFS!AS6</f>
        <v>On Track</v>
      </c>
      <c r="AT33" s="116" t="str">
        <f>DCFS!AT6</f>
        <v xml:space="preserve">A request  to extend the performance period to 8/31/26 will be submitted to the ARPA team so Clark County can fully expend their award. Projections based on remaining funds through August 2026. </v>
      </c>
    </row>
    <row r="34" spans="1:46" ht="115.2" x14ac:dyDescent="0.3">
      <c r="A34" s="43" t="s">
        <v>134</v>
      </c>
      <c r="B34" s="43" t="s">
        <v>135</v>
      </c>
      <c r="C34" s="55" t="s">
        <v>145</v>
      </c>
      <c r="D34" s="6" t="s">
        <v>143</v>
      </c>
      <c r="E34" s="6" t="s">
        <v>65</v>
      </c>
      <c r="F34" s="44" t="s">
        <v>146</v>
      </c>
      <c r="G34" s="7">
        <v>44957</v>
      </c>
      <c r="H34" s="7">
        <v>46203</v>
      </c>
      <c r="I34" s="12">
        <v>3145</v>
      </c>
      <c r="J34" s="9">
        <v>52</v>
      </c>
      <c r="K34" s="11">
        <v>5000000</v>
      </c>
      <c r="L34" s="10"/>
      <c r="M34" s="10"/>
      <c r="N34" s="10">
        <f t="shared" si="3"/>
        <v>5000000</v>
      </c>
      <c r="O34" s="10"/>
      <c r="P34" s="10"/>
      <c r="Q34" s="10"/>
      <c r="R34" s="10"/>
      <c r="S34" s="10"/>
      <c r="T34" s="10"/>
      <c r="U34" s="10">
        <f t="shared" si="4"/>
        <v>0</v>
      </c>
      <c r="V34" s="11">
        <f t="shared" si="5"/>
        <v>5000000</v>
      </c>
      <c r="W34" s="10"/>
      <c r="X34" s="10"/>
      <c r="Y34" s="10">
        <v>68238.709999999992</v>
      </c>
      <c r="Z34" s="10">
        <v>1386373.2</v>
      </c>
      <c r="AA34" s="10">
        <v>2608138.27</v>
      </c>
      <c r="AB34" s="10">
        <v>426459.48</v>
      </c>
      <c r="AC34" s="10">
        <v>0</v>
      </c>
      <c r="AD34" s="10">
        <f t="shared" si="6"/>
        <v>4489209.66</v>
      </c>
      <c r="AE34" s="10">
        <f t="shared" si="7"/>
        <v>510790.33999999985</v>
      </c>
      <c r="AF34" s="45">
        <f t="shared" si="8"/>
        <v>0.89784193200000006</v>
      </c>
      <c r="AG34" s="106">
        <f>DCFS!AG7</f>
        <v>0</v>
      </c>
      <c r="AH34" s="106">
        <f>DCFS!AH7</f>
        <v>0</v>
      </c>
      <c r="AI34" s="106">
        <f>DCFS!AI7</f>
        <v>510790.33999999997</v>
      </c>
      <c r="AJ34" s="107"/>
      <c r="AK34" s="107"/>
      <c r="AL34" s="107"/>
      <c r="AM34" s="107"/>
      <c r="AN34" s="107"/>
      <c r="AO34" s="107"/>
      <c r="AP34" s="107"/>
      <c r="AQ34" s="105">
        <f t="shared" si="9"/>
        <v>510790.33999999997</v>
      </c>
      <c r="AR34" s="105">
        <f t="shared" si="10"/>
        <v>0</v>
      </c>
      <c r="AS34" s="104" t="str">
        <f>DCFS!AS7</f>
        <v>On Track</v>
      </c>
      <c r="AT34" s="116" t="str">
        <f>DCFS!AT7</f>
        <v>Projections based on the adjusted monthly flat fee of the Magellan contract of $190,000 a month from April 2026 to November 2026 and $169,087.54 a month for December 2026. Distribution and allocation of the remaining funds is based on the remaining balance in each project. The June projection includes the expenses from April through June 2026.</v>
      </c>
    </row>
    <row r="35" spans="1:46" ht="37.799999999999997" x14ac:dyDescent="0.3">
      <c r="A35" s="43" t="s">
        <v>134</v>
      </c>
      <c r="B35" s="43" t="s">
        <v>135</v>
      </c>
      <c r="C35" s="56" t="s">
        <v>147</v>
      </c>
      <c r="D35" s="6" t="s">
        <v>143</v>
      </c>
      <c r="E35" s="6" t="s">
        <v>65</v>
      </c>
      <c r="F35" s="44" t="s">
        <v>148</v>
      </c>
      <c r="G35" s="7">
        <v>44791</v>
      </c>
      <c r="H35" s="7">
        <v>46387</v>
      </c>
      <c r="I35" s="12" t="s">
        <v>149</v>
      </c>
      <c r="J35" s="9">
        <v>42</v>
      </c>
      <c r="K35" s="11">
        <v>977346</v>
      </c>
      <c r="L35" s="10"/>
      <c r="M35" s="10">
        <v>980629</v>
      </c>
      <c r="N35" s="10">
        <f t="shared" si="3"/>
        <v>1957975</v>
      </c>
      <c r="O35" s="10"/>
      <c r="P35" s="10"/>
      <c r="Q35" s="10">
        <v>49755</v>
      </c>
      <c r="R35" s="10"/>
      <c r="S35" s="10"/>
      <c r="T35" s="10"/>
      <c r="U35" s="10">
        <f t="shared" si="4"/>
        <v>49755</v>
      </c>
      <c r="V35" s="11">
        <f t="shared" si="5"/>
        <v>1908220</v>
      </c>
      <c r="W35" s="10"/>
      <c r="X35" s="10"/>
      <c r="Y35" s="10">
        <v>113037.70999999999</v>
      </c>
      <c r="Z35" s="10">
        <v>618345.64</v>
      </c>
      <c r="AA35" s="10">
        <v>719912.25</v>
      </c>
      <c r="AB35" s="10">
        <v>450195.25</v>
      </c>
      <c r="AC35" s="10"/>
      <c r="AD35" s="10">
        <f t="shared" si="6"/>
        <v>1901490.85</v>
      </c>
      <c r="AE35" s="10">
        <f t="shared" si="7"/>
        <v>6729.1499999999069</v>
      </c>
      <c r="AF35" s="45">
        <f t="shared" si="8"/>
        <v>0.99647359843204664</v>
      </c>
      <c r="AG35" s="106">
        <f>DCFS!AG8</f>
        <v>0</v>
      </c>
      <c r="AH35" s="106">
        <f>DCFS!AH8</f>
        <v>6728.75</v>
      </c>
      <c r="AI35" s="106">
        <f>DCFS!AI8</f>
        <v>0</v>
      </c>
      <c r="AJ35" s="106">
        <f>DCFS!AJ8</f>
        <v>0</v>
      </c>
      <c r="AK35" s="106">
        <f>DCFS!AK8</f>
        <v>0</v>
      </c>
      <c r="AL35" s="106">
        <f>DCFS!AL8</f>
        <v>0</v>
      </c>
      <c r="AM35" s="106">
        <f>DCFS!AM8</f>
        <v>0</v>
      </c>
      <c r="AN35" s="106">
        <f>DCFS!AN8</f>
        <v>0</v>
      </c>
      <c r="AO35" s="106">
        <f>DCFS!AO8</f>
        <v>0</v>
      </c>
      <c r="AP35" s="106">
        <f>DCFS!AP8</f>
        <v>0.4</v>
      </c>
      <c r="AQ35" s="105">
        <f t="shared" ref="AQ35:AQ42" si="11">SUM(AG35:AP35)</f>
        <v>6729.15</v>
      </c>
      <c r="AR35" s="105">
        <f t="shared" ref="AR35:AR42" si="12">AQ35-AE35</f>
        <v>9.276845958083868E-11</v>
      </c>
      <c r="AS35" s="104" t="str">
        <f>DCFS!AS8</f>
        <v>On Track</v>
      </c>
      <c r="AT35" s="116" t="str">
        <f>DCFS!AT8</f>
        <v xml:space="preserve">Project Complete. Closeout activities in progress once May RFR is processed.  </v>
      </c>
    </row>
    <row r="36" spans="1:46" ht="115.2" x14ac:dyDescent="0.3">
      <c r="A36" s="43" t="s">
        <v>134</v>
      </c>
      <c r="B36" s="43" t="s">
        <v>135</v>
      </c>
      <c r="C36" s="56" t="s">
        <v>150</v>
      </c>
      <c r="D36" s="6" t="s">
        <v>143</v>
      </c>
      <c r="E36" s="6" t="s">
        <v>65</v>
      </c>
      <c r="F36" s="44" t="s">
        <v>151</v>
      </c>
      <c r="G36" s="7">
        <v>44854</v>
      </c>
      <c r="H36" s="7">
        <v>46387</v>
      </c>
      <c r="I36" s="12" t="s">
        <v>149</v>
      </c>
      <c r="J36" s="9" t="s">
        <v>152</v>
      </c>
      <c r="K36" s="11">
        <f>2431165</f>
        <v>2431165</v>
      </c>
      <c r="L36" s="10">
        <v>91031</v>
      </c>
      <c r="M36" s="10">
        <f>2474401</f>
        <v>2474401</v>
      </c>
      <c r="N36" s="10">
        <f t="shared" si="3"/>
        <v>4996597</v>
      </c>
      <c r="O36" s="13"/>
      <c r="P36" s="13"/>
      <c r="Q36" s="13">
        <f>61165+58897</f>
        <v>120062</v>
      </c>
      <c r="R36" s="10">
        <v>1250000</v>
      </c>
      <c r="S36" s="10"/>
      <c r="T36" s="10"/>
      <c r="U36" s="10">
        <f t="shared" si="4"/>
        <v>1370062</v>
      </c>
      <c r="V36" s="11">
        <f t="shared" si="5"/>
        <v>3626535</v>
      </c>
      <c r="W36" s="10"/>
      <c r="X36" s="10"/>
      <c r="Y36" s="10">
        <v>0</v>
      </c>
      <c r="Z36" s="10">
        <v>825501.65</v>
      </c>
      <c r="AA36" s="10">
        <v>1483975.81</v>
      </c>
      <c r="AB36" s="10">
        <v>470000</v>
      </c>
      <c r="AC36" s="10"/>
      <c r="AD36" s="10">
        <f t="shared" si="6"/>
        <v>2779477.46</v>
      </c>
      <c r="AE36" s="10">
        <f t="shared" si="7"/>
        <v>847057.54</v>
      </c>
      <c r="AF36" s="45">
        <f t="shared" si="8"/>
        <v>0.76642786020264519</v>
      </c>
      <c r="AG36" s="106">
        <f>DCFS!AG9</f>
        <v>0</v>
      </c>
      <c r="AH36" s="106">
        <f>DCFS!AH9</f>
        <v>0</v>
      </c>
      <c r="AI36" s="106">
        <f>DCFS!AI9</f>
        <v>34604</v>
      </c>
      <c r="AJ36" s="106">
        <f>DCFS!AJ9</f>
        <v>135000</v>
      </c>
      <c r="AK36" s="106">
        <f>DCFS!AK9</f>
        <v>135000</v>
      </c>
      <c r="AL36" s="106">
        <f>DCFS!AL9</f>
        <v>135000</v>
      </c>
      <c r="AM36" s="106">
        <f>DCFS!AM9</f>
        <v>135000</v>
      </c>
      <c r="AN36" s="106">
        <f>DCFS!AN9</f>
        <v>135000</v>
      </c>
      <c r="AO36" s="106">
        <f>DCFS!AO9</f>
        <v>137453.54</v>
      </c>
      <c r="AP36" s="106">
        <f>DCFS!AP9</f>
        <v>0</v>
      </c>
      <c r="AQ36" s="105">
        <f t="shared" si="11"/>
        <v>847057.54</v>
      </c>
      <c r="AR36" s="105">
        <f t="shared" si="12"/>
        <v>0</v>
      </c>
      <c r="AS36" s="104" t="str">
        <f>DCFS!AS9</f>
        <v>on Track</v>
      </c>
      <c r="AT36" s="116" t="str">
        <f>DCFS!AT9</f>
        <v>Projections based on the adjusted monthly flat fee of the Magellan contract of $190,000 a month from April 2026 to November 2026 and $169,087.54 a month for December 2026. Distribution and allocation of the remaining funds is based on the remaining balance in each project. The June projection includes the expenses from April through June 2026.</v>
      </c>
    </row>
    <row r="37" spans="1:46" ht="72" x14ac:dyDescent="0.3">
      <c r="A37" s="43" t="s">
        <v>134</v>
      </c>
      <c r="B37" s="43" t="s">
        <v>135</v>
      </c>
      <c r="C37" s="56" t="s">
        <v>153</v>
      </c>
      <c r="D37" s="6" t="s">
        <v>143</v>
      </c>
      <c r="E37" s="6" t="s">
        <v>65</v>
      </c>
      <c r="F37" s="44" t="s">
        <v>154</v>
      </c>
      <c r="G37" s="7">
        <v>44910</v>
      </c>
      <c r="H37" s="7">
        <v>46203</v>
      </c>
      <c r="I37" s="12">
        <v>3145</v>
      </c>
      <c r="J37" s="9">
        <v>68</v>
      </c>
      <c r="K37" s="11">
        <v>7022777</v>
      </c>
      <c r="L37" s="10"/>
      <c r="M37" s="10"/>
      <c r="N37" s="10">
        <f t="shared" si="3"/>
        <v>7022777</v>
      </c>
      <c r="O37" s="13"/>
      <c r="P37" s="13">
        <v>401607</v>
      </c>
      <c r="Q37" s="13"/>
      <c r="R37" s="10"/>
      <c r="S37" s="10"/>
      <c r="T37" s="10"/>
      <c r="U37" s="10">
        <f t="shared" si="4"/>
        <v>401607</v>
      </c>
      <c r="V37" s="11">
        <f t="shared" si="5"/>
        <v>6621170</v>
      </c>
      <c r="W37" s="10"/>
      <c r="X37" s="10"/>
      <c r="Y37" s="10">
        <v>0</v>
      </c>
      <c r="Z37" s="10">
        <v>196177.75</v>
      </c>
      <c r="AA37" s="10">
        <v>644440</v>
      </c>
      <c r="AB37" s="10">
        <v>5758379.3899999997</v>
      </c>
      <c r="AC37" s="10"/>
      <c r="AD37" s="10">
        <f t="shared" si="6"/>
        <v>6598997.1399999997</v>
      </c>
      <c r="AE37" s="10">
        <f t="shared" si="7"/>
        <v>22172.860000000335</v>
      </c>
      <c r="AF37" s="45">
        <v>0.99</v>
      </c>
      <c r="AG37" s="106">
        <f>DCFS!AG10</f>
        <v>0</v>
      </c>
      <c r="AH37" s="106">
        <f>DCFS!AH10</f>
        <v>2121.71</v>
      </c>
      <c r="AI37" s="106">
        <f>DCFS!AI10</f>
        <v>4011.15</v>
      </c>
      <c r="AJ37" s="106">
        <f>DCFS!AJ10</f>
        <v>4010</v>
      </c>
      <c r="AK37" s="106">
        <f>DCFS!AK10</f>
        <v>4010</v>
      </c>
      <c r="AL37" s="106">
        <f>DCFS!AL10</f>
        <v>4010</v>
      </c>
      <c r="AM37" s="106">
        <f>DCFS!AM10</f>
        <v>4010</v>
      </c>
      <c r="AN37" s="107"/>
      <c r="AO37" s="107"/>
      <c r="AP37" s="107"/>
      <c r="AQ37" s="105">
        <f t="shared" si="11"/>
        <v>22172.86</v>
      </c>
      <c r="AR37" s="105">
        <f t="shared" si="12"/>
        <v>-3.3469405025243759E-10</v>
      </c>
      <c r="AS37" s="104" t="str">
        <f>DCFS!AS10</f>
        <v>On Track</v>
      </c>
      <c r="AT37" s="116" t="str">
        <f>DCFS!AT10</f>
        <v>Project is in process with completion expected in October 2026, monitoring of the project continues. Extension request will be submitted to the ARPA team to extend subaward to October 31, 2026</v>
      </c>
    </row>
    <row r="38" spans="1:46" ht="43.2" x14ac:dyDescent="0.3">
      <c r="A38" s="43" t="s">
        <v>134</v>
      </c>
      <c r="B38" s="43" t="s">
        <v>135</v>
      </c>
      <c r="C38" s="55" t="s">
        <v>155</v>
      </c>
      <c r="D38" s="6" t="s">
        <v>143</v>
      </c>
      <c r="E38" s="6" t="s">
        <v>65</v>
      </c>
      <c r="F38" s="44" t="s">
        <v>156</v>
      </c>
      <c r="G38" s="7">
        <v>44854</v>
      </c>
      <c r="H38" s="7">
        <v>46295</v>
      </c>
      <c r="I38" s="12">
        <v>3145</v>
      </c>
      <c r="J38" s="9">
        <v>66</v>
      </c>
      <c r="K38" s="11">
        <v>6000000</v>
      </c>
      <c r="L38" s="10"/>
      <c r="M38" s="10"/>
      <c r="N38" s="10">
        <f t="shared" si="3"/>
        <v>6000000</v>
      </c>
      <c r="O38" s="10">
        <v>0</v>
      </c>
      <c r="P38" s="10"/>
      <c r="Q38" s="10"/>
      <c r="R38" s="10"/>
      <c r="S38" s="10"/>
      <c r="T38" s="10"/>
      <c r="U38" s="10">
        <f t="shared" si="4"/>
        <v>0</v>
      </c>
      <c r="V38" s="11">
        <f t="shared" si="5"/>
        <v>6000000</v>
      </c>
      <c r="W38" s="10"/>
      <c r="X38" s="10"/>
      <c r="Y38" s="10">
        <v>1189702.67</v>
      </c>
      <c r="Z38" s="10">
        <v>2364177.0499999998</v>
      </c>
      <c r="AA38" s="10">
        <v>390185.8</v>
      </c>
      <c r="AB38" s="10">
        <v>2031650.4500000002</v>
      </c>
      <c r="AC38" s="10"/>
      <c r="AD38" s="10">
        <f>'[1]409-23NWFEO01'!Q63</f>
        <v>5975715.9699999997</v>
      </c>
      <c r="AE38" s="10">
        <f t="shared" si="7"/>
        <v>24284.030000000261</v>
      </c>
      <c r="AF38" s="45">
        <f>AD38/V38</f>
        <v>0.99595266166666663</v>
      </c>
      <c r="AG38" s="106">
        <f>DCFS!AG11</f>
        <v>0</v>
      </c>
      <c r="AH38" s="106">
        <f>DCFS!AH11</f>
        <v>0</v>
      </c>
      <c r="AI38" s="106">
        <f>DCFS!AI11</f>
        <v>0</v>
      </c>
      <c r="AJ38" s="106">
        <f>DCFS!AJ11</f>
        <v>0</v>
      </c>
      <c r="AK38" s="106">
        <f>DCFS!AK11</f>
        <v>0</v>
      </c>
      <c r="AL38" s="106">
        <f>DCFS!AL11</f>
        <v>24284.03</v>
      </c>
      <c r="AM38" s="106">
        <f>DCFS!AM11</f>
        <v>0</v>
      </c>
      <c r="AN38" s="107"/>
      <c r="AO38" s="107"/>
      <c r="AP38" s="107"/>
      <c r="AQ38" s="105">
        <f t="shared" si="11"/>
        <v>24284.03</v>
      </c>
      <c r="AR38" s="105">
        <f t="shared" si="12"/>
        <v>-2.6193447411060333E-10</v>
      </c>
      <c r="AS38" s="104" t="str">
        <f>DCFS!AS11</f>
        <v>On Track</v>
      </c>
      <c r="AT38" s="116" t="str">
        <f>DCFS!AT11</f>
        <v xml:space="preserve">Projections are based on scholarship support for APRN students by semester for the Summer 2026 semester. </v>
      </c>
    </row>
    <row r="39" spans="1:46" ht="115.2" x14ac:dyDescent="0.3">
      <c r="A39" s="43" t="s">
        <v>134</v>
      </c>
      <c r="B39" s="43" t="s">
        <v>135</v>
      </c>
      <c r="C39" s="55" t="s">
        <v>157</v>
      </c>
      <c r="D39" s="6" t="s">
        <v>143</v>
      </c>
      <c r="E39" s="6" t="s">
        <v>65</v>
      </c>
      <c r="F39" s="44" t="s">
        <v>158</v>
      </c>
      <c r="G39" s="7">
        <v>45474</v>
      </c>
      <c r="H39" s="7">
        <v>46446</v>
      </c>
      <c r="I39" s="12">
        <v>3145</v>
      </c>
      <c r="J39" s="12" t="s">
        <v>159</v>
      </c>
      <c r="K39" s="11">
        <v>1014987</v>
      </c>
      <c r="L39" s="10"/>
      <c r="M39" s="10">
        <v>232771</v>
      </c>
      <c r="N39" s="10">
        <f t="shared" si="3"/>
        <v>1247758</v>
      </c>
      <c r="O39" s="70"/>
      <c r="P39" s="10"/>
      <c r="Q39" s="10"/>
      <c r="R39" s="10"/>
      <c r="S39" s="46">
        <v>200000</v>
      </c>
      <c r="T39" s="10"/>
      <c r="U39" s="10">
        <f t="shared" si="4"/>
        <v>200000</v>
      </c>
      <c r="V39" s="11">
        <f t="shared" si="5"/>
        <v>1047758</v>
      </c>
      <c r="W39" s="10"/>
      <c r="X39" s="10"/>
      <c r="Y39" s="10"/>
      <c r="Z39" s="10"/>
      <c r="AA39" s="10">
        <v>938792.53</v>
      </c>
      <c r="AB39" s="10">
        <v>69407.94</v>
      </c>
      <c r="AC39" s="10"/>
      <c r="AD39" s="10">
        <f>SUM(W39:AC39)</f>
        <v>1008200.47</v>
      </c>
      <c r="AE39" s="10">
        <f t="shared" si="7"/>
        <v>39557.530000000028</v>
      </c>
      <c r="AF39" s="45">
        <f>AD39/V39</f>
        <v>0.9622455471587904</v>
      </c>
      <c r="AG39" s="106">
        <f>DCFS!AG12</f>
        <v>0</v>
      </c>
      <c r="AH39" s="106">
        <f>DCFS!AH12</f>
        <v>0</v>
      </c>
      <c r="AI39" s="106">
        <f>DCFS!AI12</f>
        <v>10000</v>
      </c>
      <c r="AJ39" s="106">
        <f>DCFS!AJ12</f>
        <v>10000</v>
      </c>
      <c r="AK39" s="106">
        <f>DCFS!AK12</f>
        <v>10000</v>
      </c>
      <c r="AL39" s="106">
        <f>DCFS!AL12</f>
        <v>9557.5300000000007</v>
      </c>
      <c r="AM39" s="106">
        <f>DCFS!AM12</f>
        <v>0</v>
      </c>
      <c r="AN39" s="106">
        <f>DCFS!AN12</f>
        <v>0</v>
      </c>
      <c r="AO39" s="106">
        <f>DCFS!AO12</f>
        <v>0</v>
      </c>
      <c r="AP39" s="106">
        <f>DCFS!AP12</f>
        <v>0</v>
      </c>
      <c r="AQ39" s="105">
        <f t="shared" si="11"/>
        <v>39557.53</v>
      </c>
      <c r="AR39" s="105">
        <f t="shared" si="12"/>
        <v>0</v>
      </c>
      <c r="AS39" s="104" t="str">
        <f>DCFS!AS12</f>
        <v>On Track</v>
      </c>
      <c r="AT39" s="116" t="str">
        <f>DCFS!AT12</f>
        <v>This project oversees ARPA projects to provide support in the areas of fiscal, reporting, subrecipient monitoring, grants management, contract management and human resources to comply with federal and state regulations. The amounts projected each month are based on current spending trends for 1 temp contractor</v>
      </c>
    </row>
    <row r="40" spans="1:46" ht="28.8" x14ac:dyDescent="0.3">
      <c r="A40" s="43" t="s">
        <v>134</v>
      </c>
      <c r="B40" s="43" t="s">
        <v>135</v>
      </c>
      <c r="C40" s="55" t="s">
        <v>160</v>
      </c>
      <c r="D40" s="6" t="s">
        <v>143</v>
      </c>
      <c r="E40" s="6" t="s">
        <v>65</v>
      </c>
      <c r="F40" s="44" t="s">
        <v>161</v>
      </c>
      <c r="G40" s="7">
        <v>45474</v>
      </c>
      <c r="H40" s="7">
        <v>46446</v>
      </c>
      <c r="I40" s="12">
        <v>3146</v>
      </c>
      <c r="J40" s="12" t="s">
        <v>159</v>
      </c>
      <c r="K40" s="11">
        <v>1499500</v>
      </c>
      <c r="L40" s="10"/>
      <c r="M40" s="10"/>
      <c r="N40" s="10">
        <f t="shared" si="3"/>
        <v>1499500</v>
      </c>
      <c r="O40" s="70"/>
      <c r="P40" s="10"/>
      <c r="Q40" s="10"/>
      <c r="R40" s="10">
        <v>232771</v>
      </c>
      <c r="S40" s="70"/>
      <c r="T40" s="10"/>
      <c r="U40" s="10">
        <f t="shared" si="4"/>
        <v>232771</v>
      </c>
      <c r="V40" s="11">
        <f t="shared" si="5"/>
        <v>1266729</v>
      </c>
      <c r="W40" s="10"/>
      <c r="X40" s="10"/>
      <c r="Y40" s="10"/>
      <c r="Z40" s="10"/>
      <c r="AA40" s="10">
        <v>1041847.1699999999</v>
      </c>
      <c r="AB40" s="10">
        <v>218778.59000000003</v>
      </c>
      <c r="AC40" s="10"/>
      <c r="AD40" s="10">
        <f>SUM(W40:AC40)</f>
        <v>1260625.76</v>
      </c>
      <c r="AE40" s="10">
        <f t="shared" si="7"/>
        <v>6103.2399999999907</v>
      </c>
      <c r="AF40" s="45">
        <f>AD40/V40</f>
        <v>0.995181889733321</v>
      </c>
      <c r="AG40" s="106">
        <f>DCFS!AG13</f>
        <v>0</v>
      </c>
      <c r="AH40" s="106">
        <f>DCFS!AH13</f>
        <v>0</v>
      </c>
      <c r="AI40" s="106">
        <f>DCFS!AI13</f>
        <v>6103.24</v>
      </c>
      <c r="AJ40" s="106">
        <f>DCFS!AJ13</f>
        <v>0</v>
      </c>
      <c r="AK40" s="106">
        <f>DCFS!AK13</f>
        <v>0</v>
      </c>
      <c r="AL40" s="106">
        <f>DCFS!AL13</f>
        <v>0</v>
      </c>
      <c r="AM40" s="106">
        <f>DCFS!AM13</f>
        <v>0</v>
      </c>
      <c r="AN40" s="106">
        <f>DCFS!AN13</f>
        <v>0</v>
      </c>
      <c r="AO40" s="106">
        <f>DCFS!AO13</f>
        <v>0</v>
      </c>
      <c r="AP40" s="106">
        <f>DCFS!AP13</f>
        <v>0</v>
      </c>
      <c r="AQ40" s="105">
        <f t="shared" si="11"/>
        <v>6103.24</v>
      </c>
      <c r="AR40" s="105">
        <f t="shared" si="12"/>
        <v>9.0949470177292824E-12</v>
      </c>
      <c r="AS40" s="104" t="str">
        <f>DCFS!AS13</f>
        <v>On Track</v>
      </c>
      <c r="AT40" s="116" t="str">
        <f>DCFS!AT13</f>
        <v xml:space="preserve">Project Complete. Closeout activities in progress once May RFR is processed.  </v>
      </c>
    </row>
    <row r="41" spans="1:46" ht="115.2" x14ac:dyDescent="0.3">
      <c r="A41" s="43" t="s">
        <v>134</v>
      </c>
      <c r="B41" s="43" t="s">
        <v>135</v>
      </c>
      <c r="C41" s="56" t="s">
        <v>162</v>
      </c>
      <c r="D41" s="6" t="s">
        <v>143</v>
      </c>
      <c r="E41" s="6" t="s">
        <v>65</v>
      </c>
      <c r="F41" s="44" t="s">
        <v>163</v>
      </c>
      <c r="G41" s="7">
        <v>44855</v>
      </c>
      <c r="H41" s="7">
        <v>46387</v>
      </c>
      <c r="I41" s="12">
        <v>3143</v>
      </c>
      <c r="J41" s="9">
        <v>41</v>
      </c>
      <c r="K41" s="11">
        <v>18370000</v>
      </c>
      <c r="L41" s="10"/>
      <c r="M41" s="10"/>
      <c r="N41" s="10">
        <f t="shared" si="3"/>
        <v>18370000</v>
      </c>
      <c r="O41" s="10"/>
      <c r="P41" s="10"/>
      <c r="Q41" s="10"/>
      <c r="R41" s="10"/>
      <c r="S41" s="10"/>
      <c r="T41" s="10"/>
      <c r="U41" s="10">
        <f t="shared" si="4"/>
        <v>0</v>
      </c>
      <c r="V41" s="11">
        <f t="shared" si="5"/>
        <v>18370000</v>
      </c>
      <c r="W41" s="10"/>
      <c r="X41" s="10"/>
      <c r="Y41" s="10">
        <v>8554.9500000000007</v>
      </c>
      <c r="Z41" s="10">
        <v>134739.35</v>
      </c>
      <c r="AA41" s="10">
        <v>1523983.6199999999</v>
      </c>
      <c r="AB41" s="10">
        <v>85110</v>
      </c>
      <c r="AC41" s="10"/>
      <c r="AD41" s="10">
        <f>SUM(W41:AC41)</f>
        <v>1752387.92</v>
      </c>
      <c r="AE41" s="10">
        <f t="shared" si="7"/>
        <v>16617612.08</v>
      </c>
      <c r="AF41" s="45">
        <f>AD41/V41</f>
        <v>9.5394007621121393E-2</v>
      </c>
      <c r="AG41" s="106">
        <f>DCFS!AG14</f>
        <v>0</v>
      </c>
      <c r="AH41" s="106">
        <f>DCFS!AH14</f>
        <v>0</v>
      </c>
      <c r="AI41" s="106">
        <f>DCFS!AI14</f>
        <v>1001100</v>
      </c>
      <c r="AJ41" s="106">
        <f>DCFS!AJ14</f>
        <v>4493782.08</v>
      </c>
      <c r="AK41" s="106">
        <f>DCFS!AK14</f>
        <v>1875381</v>
      </c>
      <c r="AL41" s="106">
        <f>DCFS!AL14</f>
        <v>1875381</v>
      </c>
      <c r="AM41" s="106">
        <f>DCFS!AM14</f>
        <v>1875381</v>
      </c>
      <c r="AN41" s="106">
        <f>DCFS!AN14</f>
        <v>1875381</v>
      </c>
      <c r="AO41" s="106">
        <f>DCFS!AO14</f>
        <v>3621206</v>
      </c>
      <c r="AP41" s="106">
        <f>DCFS!AP14</f>
        <v>0</v>
      </c>
      <c r="AQ41" s="105">
        <f t="shared" si="11"/>
        <v>16617612.08</v>
      </c>
      <c r="AR41" s="105">
        <f t="shared" si="12"/>
        <v>0</v>
      </c>
      <c r="AS41" s="104" t="str">
        <f>DCFS!AS14</f>
        <v>On Track</v>
      </c>
      <c r="AT41" s="116" t="str">
        <f>DCFS!AT14</f>
        <v xml:space="preserve">New contract to provide design, development, and implementation services for a new comprehensive child welfare information system was approved at May BOE. Kickoff meeting scheduled for 06/8/26. Projections are based on CCWIS budget for design and implementation, project management and independent valuation. </v>
      </c>
    </row>
    <row r="42" spans="1:46" ht="115.2" x14ac:dyDescent="0.3">
      <c r="A42" s="43" t="s">
        <v>134</v>
      </c>
      <c r="B42" s="43" t="s">
        <v>135</v>
      </c>
      <c r="C42" s="56" t="s">
        <v>164</v>
      </c>
      <c r="D42" s="6" t="s">
        <v>143</v>
      </c>
      <c r="E42" s="6" t="s">
        <v>65</v>
      </c>
      <c r="F42" s="44" t="s">
        <v>165</v>
      </c>
      <c r="G42" s="7">
        <v>44791</v>
      </c>
      <c r="H42" s="7">
        <v>46387</v>
      </c>
      <c r="I42" s="12" t="s">
        <v>166</v>
      </c>
      <c r="J42" s="12" t="s">
        <v>167</v>
      </c>
      <c r="K42" s="11">
        <v>7314984</v>
      </c>
      <c r="L42" s="10"/>
      <c r="M42" s="10">
        <f>7335048</f>
        <v>7335048</v>
      </c>
      <c r="N42" s="10">
        <f t="shared" si="3"/>
        <v>14650032</v>
      </c>
      <c r="O42" s="10"/>
      <c r="P42" s="10"/>
      <c r="Q42" s="10"/>
      <c r="R42" s="10">
        <f>348+5000000+1250000</f>
        <v>6250348</v>
      </c>
      <c r="S42" s="10"/>
      <c r="T42" s="10"/>
      <c r="U42" s="10">
        <f t="shared" si="4"/>
        <v>6250348</v>
      </c>
      <c r="V42" s="11">
        <f t="shared" si="5"/>
        <v>8399684</v>
      </c>
      <c r="W42" s="10"/>
      <c r="X42" s="10"/>
      <c r="Y42" s="10"/>
      <c r="Z42" s="10">
        <v>2545174.34</v>
      </c>
      <c r="AA42" s="10">
        <v>4389270</v>
      </c>
      <c r="AB42" s="10">
        <v>1134000</v>
      </c>
      <c r="AC42" s="10"/>
      <c r="AD42" s="10">
        <f>SUM(W42:AC42)</f>
        <v>8068444.3399999999</v>
      </c>
      <c r="AE42" s="10">
        <f t="shared" si="7"/>
        <v>331239.66000000015</v>
      </c>
      <c r="AF42" s="45">
        <f>AD42/V42</f>
        <v>0.96056522364412755</v>
      </c>
      <c r="AG42" s="106">
        <f>DCFS!AG15</f>
        <v>0</v>
      </c>
      <c r="AH42" s="106">
        <f>DCFS!AH15</f>
        <v>0</v>
      </c>
      <c r="AI42" s="106">
        <f>DCFS!AI15</f>
        <v>24605.66</v>
      </c>
      <c r="AJ42" s="106">
        <f>DCFS!AJ15</f>
        <v>55000</v>
      </c>
      <c r="AK42" s="106">
        <f>DCFS!AK15</f>
        <v>55000</v>
      </c>
      <c r="AL42" s="106">
        <f>DCFS!AL15</f>
        <v>55000</v>
      </c>
      <c r="AM42" s="106">
        <f>DCFS!AM15</f>
        <v>55000</v>
      </c>
      <c r="AN42" s="106">
        <f>DCFS!AN15</f>
        <v>55000</v>
      </c>
      <c r="AO42" s="106">
        <f>DCFS!AO15</f>
        <v>31634</v>
      </c>
      <c r="AP42" s="106">
        <f>DCFS!AP15</f>
        <v>0</v>
      </c>
      <c r="AQ42" s="105">
        <f t="shared" si="11"/>
        <v>331239.66000000003</v>
      </c>
      <c r="AR42" s="105">
        <f t="shared" si="12"/>
        <v>0</v>
      </c>
      <c r="AS42" s="104" t="str">
        <f>DCFS!AS15</f>
        <v>On Track</v>
      </c>
      <c r="AT42" s="116" t="str">
        <f>DCFS!AT15</f>
        <v>Projections based on the adjusted monthly flat fee of the Magellan contract of $190,000 a month from April 2026 to November 2026 and $169,087.54 a month for December 2026. Distribution and allocation of the remaining funds is based on the remaining balance in each project. The June projection includes the expenses from April through June 2026.</v>
      </c>
    </row>
    <row r="43" spans="1:46" x14ac:dyDescent="0.3">
      <c r="A43" s="73"/>
      <c r="B43" s="73"/>
      <c r="C43" s="74"/>
      <c r="D43" s="73"/>
      <c r="E43" s="75"/>
      <c r="F43" s="76"/>
      <c r="G43" s="73"/>
      <c r="H43" s="73"/>
      <c r="I43" s="73"/>
      <c r="J43" s="73"/>
      <c r="K43" s="73"/>
      <c r="L43" s="73"/>
      <c r="M43" s="73"/>
      <c r="N43" s="78">
        <f t="shared" ref="N43:AE43" si="13">SUM(N4:N42)</f>
        <v>309617044.10000002</v>
      </c>
      <c r="O43" s="78">
        <f t="shared" si="13"/>
        <v>660000</v>
      </c>
      <c r="P43" s="78">
        <f t="shared" si="13"/>
        <v>5401607</v>
      </c>
      <c r="Q43" s="78">
        <f t="shared" si="13"/>
        <v>8026445</v>
      </c>
      <c r="R43" s="78">
        <f t="shared" si="13"/>
        <v>10467738.4</v>
      </c>
      <c r="S43" s="78">
        <f t="shared" si="13"/>
        <v>2186587.5</v>
      </c>
      <c r="T43" s="78">
        <f t="shared" si="13"/>
        <v>0</v>
      </c>
      <c r="U43" s="78">
        <f t="shared" si="13"/>
        <v>26742377.899999999</v>
      </c>
      <c r="V43" s="78">
        <f t="shared" si="13"/>
        <v>282874666.19999999</v>
      </c>
      <c r="W43" s="78">
        <f t="shared" si="13"/>
        <v>0</v>
      </c>
      <c r="X43" s="78">
        <f t="shared" si="13"/>
        <v>422.52</v>
      </c>
      <c r="Y43" s="78">
        <f t="shared" si="13"/>
        <v>18899694.080000002</v>
      </c>
      <c r="Z43" s="78">
        <f t="shared" si="13"/>
        <v>50461449.5</v>
      </c>
      <c r="AA43" s="78">
        <f t="shared" si="13"/>
        <v>73796126.670000002</v>
      </c>
      <c r="AB43" s="78">
        <f t="shared" si="13"/>
        <v>70753607.530000001</v>
      </c>
      <c r="AC43" s="78">
        <f t="shared" si="13"/>
        <v>0</v>
      </c>
      <c r="AD43" s="78">
        <f t="shared" si="13"/>
        <v>213911300.29999998</v>
      </c>
      <c r="AE43" s="78">
        <f t="shared" si="13"/>
        <v>68963365.899999991</v>
      </c>
      <c r="AF43" s="77"/>
      <c r="AG43" s="78">
        <f t="shared" ref="AG43:AR43" si="14">SUM(AG4:AG42)</f>
        <v>6836.4</v>
      </c>
      <c r="AH43" s="78">
        <f t="shared" si="14"/>
        <v>5321021.2200000007</v>
      </c>
      <c r="AI43" s="78">
        <f t="shared" si="14"/>
        <v>13830236.949999999</v>
      </c>
      <c r="AJ43" s="78">
        <f t="shared" si="14"/>
        <v>12573165.93</v>
      </c>
      <c r="AK43" s="78">
        <f t="shared" si="14"/>
        <v>9117337.120000001</v>
      </c>
      <c r="AL43" s="78">
        <f t="shared" si="14"/>
        <v>7613384.6800000006</v>
      </c>
      <c r="AM43" s="78">
        <f t="shared" si="14"/>
        <v>7441756.5</v>
      </c>
      <c r="AN43" s="78">
        <f t="shared" si="14"/>
        <v>5834430.3200000003</v>
      </c>
      <c r="AO43" s="78">
        <f t="shared" si="14"/>
        <v>6630844.4900000002</v>
      </c>
      <c r="AP43" s="78">
        <f t="shared" si="14"/>
        <v>71715.92</v>
      </c>
      <c r="AQ43" s="78">
        <f t="shared" si="14"/>
        <v>68440729.530000001</v>
      </c>
      <c r="AR43" s="108">
        <f t="shared" si="14"/>
        <v>-522636.3699999993</v>
      </c>
      <c r="AS43" s="73"/>
      <c r="AT43" s="76"/>
    </row>
    <row r="44" spans="1:46" x14ac:dyDescent="0.3">
      <c r="AF44" s="128" t="s">
        <v>199</v>
      </c>
      <c r="AG44" s="14">
        <f>AG43-SUM('DHHS-DO'!AG5+ADSD!AG12+DCFS!AG16+DPBH!AG19+DSS!AG7)</f>
        <v>0</v>
      </c>
      <c r="AH44" s="14">
        <f>AH43-SUM('DHHS-DO'!AH5+ADSD!AH12+DCFS!AH16+DPBH!AH19+DSS!AH7)</f>
        <v>0</v>
      </c>
      <c r="AI44" s="14">
        <f>AI43-SUM('DHHS-DO'!AI5+ADSD!AI12+DCFS!AI16+DPBH!AI19+DSS!AI7)</f>
        <v>0</v>
      </c>
      <c r="AJ44" s="14">
        <f>AJ43-SUM('DHHS-DO'!AJ5+ADSD!AJ12+DCFS!AJ16+DPBH!AJ19+DSS!AJ7)</f>
        <v>0</v>
      </c>
      <c r="AK44" s="14">
        <f>AK43-SUM('DHHS-DO'!AK5+ADSD!AK12+DCFS!AK16+DPBH!AK19+DSS!AK7)</f>
        <v>0</v>
      </c>
      <c r="AL44" s="14">
        <f>AL43-SUM('DHHS-DO'!AL5+ADSD!AL12+DCFS!AL16+DPBH!AL19+DSS!AL7)</f>
        <v>0</v>
      </c>
      <c r="AM44" s="14">
        <f>AM43-SUM('DHHS-DO'!AM5+ADSD!AM12+DCFS!AM16+DPBH!AM19+DSS!AM7)</f>
        <v>0</v>
      </c>
      <c r="AN44" s="14">
        <f>AN43-SUM('DHHS-DO'!AN5+ADSD!AN12+DCFS!AN16+DPBH!AN19+DSS!AN7)</f>
        <v>0</v>
      </c>
      <c r="AO44" s="14">
        <f>AO43-SUM('DHHS-DO'!AO5+ADSD!AO12+DCFS!AO16+DPBH!AO19+DSS!AO7)</f>
        <v>0</v>
      </c>
      <c r="AP44" s="14">
        <f>AP43-SUM('DHHS-DO'!AP5+ADSD!AP12+DCFS!AP16+DPBH!AP19+DSS!AP7)</f>
        <v>0</v>
      </c>
      <c r="AQ44" s="14">
        <f>AQ43-SUM('DHHS-DO'!AQ5+ADSD!AQ12+DCFS!AQ16+DPBH!AQ19+DSS!AQ7)</f>
        <v>0</v>
      </c>
      <c r="AR44" s="14">
        <f>AR43-SUM('DHHS-DO'!AR5+ADSD!AR12+DCFS!AR16+DPBH!AR19+DSS!AR7)</f>
        <v>0</v>
      </c>
    </row>
  </sheetData>
  <sheetProtection formatCells="0" formatColumns="0" formatRows="0" insertHyperlinks="0" autoFilter="0" pivotTables="0"/>
  <autoFilter ref="A3:AF43" xr:uid="{2107F163-1924-4D7A-972D-A434E77213FC}"/>
  <mergeCells count="2">
    <mergeCell ref="AD2:AE2"/>
    <mergeCell ref="AG2:AR2"/>
  </mergeCells>
  <hyperlinks>
    <hyperlink ref="C26" location="'406-24JBMHP01'!A1" display="24JBMHP01" xr:uid="{42E7208B-4F4F-488A-865E-7D7CF20842DB}"/>
    <hyperlink ref="C25" location="'406-24FPROS01'!Print_Area" display="24FRPOS01" xr:uid="{5482E741-7C6C-4185-860E-C640AF7328D4}"/>
    <hyperlink ref="C27" location="'406-24SNFLT01'!Print_Area" display="24SNFLT01" xr:uid="{6719C111-E2CB-495F-9F8C-C47CC33A6AF9}"/>
    <hyperlink ref="C18" location="'406-23HCWSS02'!Print_Area" display="23HCWSS02" xr:uid="{B3354E3F-16CC-49BE-9715-64C946D4C9B1}"/>
    <hyperlink ref="C4" location="'400-23NVTRI01'!A1" display="23NVTRI01" xr:uid="{A6914D12-3E8F-44BB-95D4-248AB8F0BBB2}"/>
    <hyperlink ref="C5" location="'400-23EIPRC01'!A1" display="23EIPRC01" xr:uid="{67B86763-3564-4059-A879-009EBB5E3832}"/>
    <hyperlink ref="C24" location="'406-23RHSCC01'!Print_Area" display="23RHSCC01" xr:uid="{85735640-5D32-4F1E-90F0-585B62938D67}"/>
    <hyperlink ref="C28" location="'407-23ACNVM01'!Print_Area" display="23ACNVM01" xr:uid="{39E3BECC-6AC5-40CE-A2D8-E7102A8B89CA}"/>
    <hyperlink ref="C14" location="'406-22BHSTF01b-c'!Print_Area" display="22BHSTF01b-c" xr:uid="{1CC559A6-5406-406C-A705-477E66239343}"/>
    <hyperlink ref="C13" location="'406-22BHCGM01'!Print_Area" display="22BHCGM01" xr:uid="{59A8DFB1-76B9-4C16-8721-C2F13B8527CD}"/>
    <hyperlink ref="C21" location="'406-23LRHA01'!A1" display="23LRHA01" xr:uid="{71CB9AF5-7DD5-467D-9B01-10338581326A}"/>
    <hyperlink ref="C20" location="'406-23LCCMS01'!Print_Area" display="23LCCMS01" xr:uid="{D661AB57-E80A-498D-9BDA-CC42FEEAF29F}"/>
    <hyperlink ref="C22" location="'406-23NBSTR01'!Print_Area" display="23NBSTR01" xr:uid="{1D52F9D5-61D5-4DAE-A3ED-DFD295A3AE4C}"/>
    <hyperlink ref="C15" location="'406-23CFAEP01'!Print_Area" display="23CFAEP01" xr:uid="{895A56BE-A224-4806-B989-1FCB48EC1370}"/>
    <hyperlink ref="C23" location="'406-23RCCLV01'!Print_Area" display="23RCCLV01" xr:uid="{EF08BCDE-C4E3-45F6-AEAE-5AD2E3E09E98}"/>
    <hyperlink ref="C16" location="'406-23EMGCS01'!A1" display="23EMGCS01" xr:uid="{8B8EE9B0-1AEB-438A-8913-EC338322506C}"/>
    <hyperlink ref="C29" location="'407-23CHDIF01'!Print_Area" display="23CHDIF01" xr:uid="{1D0AFF75-FF6F-4FFB-A9E0-232B9F28AF97}"/>
    <hyperlink ref="C30" location="'407-23NOMAD01'!Print_Area" display="23NOMAD01" xr:uid="{28D1669E-0D54-4783-8D84-BEAEA1C09945}"/>
    <hyperlink ref="C8" location="'402-23HCAPD01'!A1" display="23HCAPD01" xr:uid="{4A1ACA12-6355-4F60-8812-27029454FD0A}"/>
    <hyperlink ref="C9" location="'402-23INHSV01'!A1" display="23INHSV01" xr:uid="{43C22351-704D-48DB-9EAD-229F14BA6490}"/>
    <hyperlink ref="C11" location="'402-23RSBEX01'!A1" display="23RSBEX01" xr:uid="{6F02AD81-1000-419D-A67F-2CEEB90CE397}"/>
    <hyperlink ref="C12" location="'402-23SVNEX01'!A1" display="23SVNEX01" xr:uid="{AB15901B-2CE7-43B6-93E0-EC6378EE3DAD}"/>
    <hyperlink ref="C6" location="'402-23CMSMI01'!A1" display="23CMSMI01" xr:uid="{C78E22C9-F1E6-480F-BEF9-D200988FBC65}"/>
    <hyperlink ref="C7" location="'402-23FCWPL01'!A1" display="23FCWPL01" xr:uid="{E3D83253-A03A-4726-8D80-163C2F8A6051}"/>
    <hyperlink ref="C32" location="'409-22DSWHD01a'!A1" display="22DSWHD01a" xr:uid="{77424454-D69F-4E6A-8436-B4EE88229095}"/>
    <hyperlink ref="C34" location="'409-23EMGCS02'!A1" display="23EMGCS02" xr:uid="{1BB143D0-D193-4840-B8B3-629159495712}"/>
    <hyperlink ref="C38" location="'409-23NWFEO01'!A1" display=" " xr:uid="{634520AE-998F-4659-BA67-F77753A8C85C}"/>
    <hyperlink ref="C42" location="'409-23WINIC01'!A1" display="23WINIC01" xr:uid="{BD9B6A01-3A87-46D4-B635-74E8F1BFC4AB}"/>
    <hyperlink ref="C41" location="'409-23UNITY01'!A1" display="23UNITY01" xr:uid="{A75F7562-B86E-4AA7-AEF9-4F66E2A551DE}"/>
    <hyperlink ref="C37" location="'409-23LVSRC01'!A1" display="23LVSRC01" xr:uid="{0DCCE02F-6306-4958-8809-8DA3F0DA3CA8}"/>
    <hyperlink ref="C36" location="'409-23IFIHS01'!A1" display="23IFIHS01" xr:uid="{A39456C9-030A-4749-B318-17E5CE258863}"/>
    <hyperlink ref="C35" location="'409-23FTFPS01'!Print_Area" display="23FTFPS01" xr:uid="{95247D37-FA84-42E1-AB52-55A24BACB3BF}"/>
    <hyperlink ref="C33" location="'409-23CLKCW01'!A1" display="23CLKCW01" xr:uid="{6E26A37B-7BEC-4120-ADB1-A210F8CBEC45}"/>
    <hyperlink ref="C19" location="'406-23IBCLC02'!A1" display="23IBCLC02" xr:uid="{E72B50B6-6287-423E-A961-709D93643E9D}"/>
    <hyperlink ref="C39" location="'409-23SUPST3145'!A1" display="23SUPST3145" xr:uid="{3E298C1F-6CB3-4D0E-A829-88B902C12FD9}"/>
    <hyperlink ref="C31" location="'409-22DSWHD01'!A1" display="22DSWHD01" xr:uid="{114CDAFB-71D4-461C-A6B4-74B1F94EA0F0}"/>
    <hyperlink ref="C40" location="'409-23SUPST3146'!A1" display="23SUPST3146" xr:uid="{737272B7-A36B-4BC6-9BF0-2B34BB16B51F}"/>
    <hyperlink ref="C10" location="'402-23RFPCN01'!Print_Area" display="23RFPCN01" xr:uid="{016781A0-3647-4778-AE41-12853E282D6D}"/>
    <hyperlink ref="C17" location="'406-23GIDTR01'!Print_Area" display="23GIDTR01" xr:uid="{F1F82118-D8AF-4693-8618-6A5CA19AEBD6}"/>
  </hyperlinks>
  <printOptions headings="1" gridLines="1"/>
  <pageMargins left="0" right="0" top="0.25" bottom="0.5" header="0.3" footer="0.3"/>
  <pageSetup scale="24"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BF36F-4715-4849-95D1-C45D5BD29853}">
  <dimension ref="A1:AT5"/>
  <sheetViews>
    <sheetView workbookViewId="0">
      <selection activeCell="A4" sqref="A4"/>
    </sheetView>
  </sheetViews>
  <sheetFormatPr defaultColWidth="9.44140625" defaultRowHeight="14.4" x14ac:dyDescent="0.3"/>
  <cols>
    <col min="1" max="1" width="8.33203125" customWidth="1"/>
    <col min="2" max="2" width="7.6640625" customWidth="1"/>
    <col min="3" max="3" width="15.5546875" style="47" bestFit="1" customWidth="1"/>
    <col min="4" max="4" width="12.6640625" customWidth="1"/>
    <col min="5" max="5" width="15.6640625" style="16" customWidth="1"/>
    <col min="6" max="6" width="31.5546875" style="19" customWidth="1"/>
    <col min="7" max="7" width="11" customWidth="1"/>
    <col min="8" max="8" width="11.109375" customWidth="1"/>
    <col min="9" max="9" width="7.88671875" customWidth="1"/>
    <col min="10" max="10" width="8" customWidth="1"/>
    <col min="11" max="11" width="16.109375" hidden="1" customWidth="1"/>
    <col min="12" max="12" width="16.88671875" hidden="1" customWidth="1"/>
    <col min="13" max="13" width="14.5546875" hidden="1" customWidth="1"/>
    <col min="14" max="14" width="17.88671875" style="17" customWidth="1"/>
    <col min="15" max="16" width="16.109375" hidden="1" customWidth="1"/>
    <col min="17" max="17" width="16.109375" style="14" hidden="1" customWidth="1"/>
    <col min="18" max="19" width="16.109375" hidden="1" customWidth="1"/>
    <col min="20" max="20" width="15.5546875" hidden="1" customWidth="1"/>
    <col min="21" max="21" width="15" customWidth="1"/>
    <col min="22" max="22" width="17.6640625" customWidth="1"/>
    <col min="23" max="23" width="12.44140625" hidden="1" customWidth="1"/>
    <col min="24" max="25" width="16.33203125" hidden="1" customWidth="1"/>
    <col min="26" max="26" width="16" hidden="1" customWidth="1"/>
    <col min="27" max="27" width="14.5546875" hidden="1" customWidth="1"/>
    <col min="28" max="28" width="15.33203125" hidden="1" customWidth="1"/>
    <col min="29" max="29" width="10.109375" hidden="1" customWidth="1"/>
    <col min="30" max="30" width="18.109375" customWidth="1"/>
    <col min="31" max="31" width="16.88671875" bestFit="1" customWidth="1"/>
    <col min="32" max="32" width="9.44140625" style="15"/>
    <col min="33" max="45" width="17.44140625" customWidth="1"/>
    <col min="46" max="46" width="39.33203125" customWidth="1"/>
  </cols>
  <sheetData>
    <row r="1" spans="1:46" s="42" customFormat="1" ht="20.25" customHeight="1" thickBot="1" x14ac:dyDescent="0.35">
      <c r="C1" s="40"/>
      <c r="E1" s="79"/>
      <c r="F1" s="80"/>
      <c r="N1" s="50">
        <f t="shared" ref="N1:AE1" si="0">N5</f>
        <v>15000000</v>
      </c>
      <c r="O1" s="50">
        <f t="shared" si="0"/>
        <v>0</v>
      </c>
      <c r="P1" s="50">
        <f t="shared" si="0"/>
        <v>0</v>
      </c>
      <c r="Q1" s="50">
        <f t="shared" si="0"/>
        <v>0</v>
      </c>
      <c r="R1" s="50">
        <f t="shared" si="0"/>
        <v>0</v>
      </c>
      <c r="S1" s="50">
        <f t="shared" si="0"/>
        <v>0</v>
      </c>
      <c r="T1" s="50">
        <f t="shared" si="0"/>
        <v>0</v>
      </c>
      <c r="U1" s="50">
        <f t="shared" si="0"/>
        <v>0</v>
      </c>
      <c r="V1" s="50">
        <f t="shared" si="0"/>
        <v>15000000</v>
      </c>
      <c r="W1" s="50">
        <f t="shared" si="0"/>
        <v>0</v>
      </c>
      <c r="X1" s="50">
        <f t="shared" si="0"/>
        <v>0</v>
      </c>
      <c r="Y1" s="50">
        <f t="shared" si="0"/>
        <v>620663.74</v>
      </c>
      <c r="Z1" s="50">
        <f t="shared" si="0"/>
        <v>7583393.6699999999</v>
      </c>
      <c r="AA1" s="50">
        <f t="shared" si="0"/>
        <v>2526979.11</v>
      </c>
      <c r="AB1" s="50">
        <f t="shared" si="0"/>
        <v>3652695.4899999998</v>
      </c>
      <c r="AC1" s="50">
        <f t="shared" si="0"/>
        <v>0</v>
      </c>
      <c r="AD1" s="50">
        <f t="shared" si="0"/>
        <v>14383732.01</v>
      </c>
      <c r="AE1" s="50">
        <f t="shared" si="0"/>
        <v>616267.99000000022</v>
      </c>
      <c r="AF1" s="5"/>
      <c r="AQ1" s="50">
        <f>AQ5</f>
        <v>616267.99</v>
      </c>
    </row>
    <row r="2" spans="1:46" s="1" customFormat="1" ht="18.600000000000001" thickBot="1" x14ac:dyDescent="0.3">
      <c r="C2" s="40"/>
      <c r="E2" s="2"/>
      <c r="F2" s="41"/>
      <c r="K2" s="3" t="e">
        <f>#REF!</f>
        <v>#REF!</v>
      </c>
      <c r="L2" s="3" t="e">
        <f>#REF!</f>
        <v>#REF!</v>
      </c>
      <c r="M2" s="3" t="e">
        <f>#REF!</f>
        <v>#REF!</v>
      </c>
      <c r="N2" s="4"/>
      <c r="O2" s="3"/>
      <c r="P2" s="3"/>
      <c r="Q2" s="3"/>
      <c r="R2" s="3"/>
      <c r="S2" s="3"/>
      <c r="T2" s="3"/>
      <c r="U2" s="3"/>
      <c r="V2" s="3"/>
      <c r="W2" s="3">
        <f t="shared" ref="W2:AC2" si="1">SUM(W4:W4)</f>
        <v>0</v>
      </c>
      <c r="X2" s="3">
        <f t="shared" si="1"/>
        <v>0</v>
      </c>
      <c r="Y2" s="3">
        <f t="shared" si="1"/>
        <v>620663.74</v>
      </c>
      <c r="Z2" s="3">
        <f t="shared" si="1"/>
        <v>7583393.6699999999</v>
      </c>
      <c r="AA2" s="3">
        <f t="shared" si="1"/>
        <v>2526979.11</v>
      </c>
      <c r="AB2" s="3">
        <f t="shared" si="1"/>
        <v>3652695.4899999998</v>
      </c>
      <c r="AC2" s="3">
        <f t="shared" si="1"/>
        <v>0</v>
      </c>
      <c r="AD2" s="129" t="s">
        <v>21</v>
      </c>
      <c r="AE2" s="130"/>
      <c r="AF2" s="5"/>
      <c r="AG2" s="131" t="s">
        <v>22</v>
      </c>
      <c r="AH2" s="132"/>
      <c r="AI2" s="132"/>
      <c r="AJ2" s="132"/>
      <c r="AK2" s="132"/>
      <c r="AL2" s="132"/>
      <c r="AM2" s="132"/>
      <c r="AN2" s="132"/>
      <c r="AO2" s="132"/>
      <c r="AP2" s="132"/>
      <c r="AQ2" s="132"/>
      <c r="AR2" s="133"/>
      <c r="AS2" s="48"/>
      <c r="AT2" s="49"/>
    </row>
    <row r="3" spans="1:46" ht="83.4" thickBot="1" x14ac:dyDescent="0.35">
      <c r="A3" s="85" t="s">
        <v>23</v>
      </c>
      <c r="B3" s="86" t="s">
        <v>24</v>
      </c>
      <c r="C3" s="87" t="s">
        <v>25</v>
      </c>
      <c r="D3" s="88" t="s">
        <v>26</v>
      </c>
      <c r="E3" s="89" t="s">
        <v>27</v>
      </c>
      <c r="F3" s="90" t="s">
        <v>28</v>
      </c>
      <c r="G3" s="91" t="s">
        <v>29</v>
      </c>
      <c r="H3" s="91" t="s">
        <v>30</v>
      </c>
      <c r="I3" s="91" t="s">
        <v>31</v>
      </c>
      <c r="J3" s="91" t="s">
        <v>32</v>
      </c>
      <c r="K3" s="18" t="s">
        <v>33</v>
      </c>
      <c r="L3" s="92" t="s">
        <v>34</v>
      </c>
      <c r="M3" s="18" t="s">
        <v>35</v>
      </c>
      <c r="N3" s="18" t="s">
        <v>36</v>
      </c>
      <c r="O3" s="93" t="s">
        <v>37</v>
      </c>
      <c r="P3" s="93" t="s">
        <v>38</v>
      </c>
      <c r="Q3" s="93" t="s">
        <v>39</v>
      </c>
      <c r="R3" s="93" t="s">
        <v>40</v>
      </c>
      <c r="S3" s="93" t="s">
        <v>41</v>
      </c>
      <c r="T3" s="93" t="s">
        <v>42</v>
      </c>
      <c r="U3" s="93" t="s">
        <v>43</v>
      </c>
      <c r="V3" s="94" t="s">
        <v>44</v>
      </c>
      <c r="W3" s="95" t="s">
        <v>45</v>
      </c>
      <c r="X3" s="95" t="s">
        <v>46</v>
      </c>
      <c r="Y3" s="96" t="s">
        <v>47</v>
      </c>
      <c r="Z3" s="96" t="s">
        <v>48</v>
      </c>
      <c r="AA3" s="96" t="s">
        <v>49</v>
      </c>
      <c r="AB3" s="95" t="s">
        <v>50</v>
      </c>
      <c r="AC3" s="95" t="s">
        <v>51</v>
      </c>
      <c r="AD3" s="97" t="s">
        <v>52</v>
      </c>
      <c r="AE3" s="98" t="s">
        <v>53</v>
      </c>
      <c r="AF3" s="99" t="s">
        <v>54</v>
      </c>
      <c r="AG3" s="100" t="s">
        <v>55</v>
      </c>
      <c r="AH3" s="101">
        <v>46158</v>
      </c>
      <c r="AI3" s="101">
        <f t="shared" ref="AI3:AO3" si="2">AH3+30</f>
        <v>46188</v>
      </c>
      <c r="AJ3" s="101">
        <f t="shared" si="2"/>
        <v>46218</v>
      </c>
      <c r="AK3" s="101">
        <f t="shared" si="2"/>
        <v>46248</v>
      </c>
      <c r="AL3" s="101">
        <f t="shared" si="2"/>
        <v>46278</v>
      </c>
      <c r="AM3" s="101">
        <f t="shared" si="2"/>
        <v>46308</v>
      </c>
      <c r="AN3" s="101">
        <f t="shared" si="2"/>
        <v>46338</v>
      </c>
      <c r="AO3" s="101">
        <f t="shared" si="2"/>
        <v>46368</v>
      </c>
      <c r="AP3" s="100" t="s">
        <v>56</v>
      </c>
      <c r="AQ3" s="100" t="s">
        <v>57</v>
      </c>
      <c r="AR3" s="100" t="s">
        <v>58</v>
      </c>
      <c r="AS3" s="102" t="s">
        <v>59</v>
      </c>
      <c r="AT3" s="103" t="s">
        <v>60</v>
      </c>
    </row>
    <row r="4" spans="1:46" ht="124.5" customHeight="1" x14ac:dyDescent="0.3">
      <c r="A4" s="43" t="s">
        <v>61</v>
      </c>
      <c r="B4" s="43" t="s">
        <v>62</v>
      </c>
      <c r="C4" s="56" t="s">
        <v>67</v>
      </c>
      <c r="D4" s="6" t="s">
        <v>68</v>
      </c>
      <c r="E4" s="6" t="s">
        <v>65</v>
      </c>
      <c r="F4" s="44" t="s">
        <v>69</v>
      </c>
      <c r="G4" s="7">
        <v>44854</v>
      </c>
      <c r="H4" s="7">
        <v>46387</v>
      </c>
      <c r="I4" s="12">
        <v>3195</v>
      </c>
      <c r="J4" s="9">
        <v>39</v>
      </c>
      <c r="K4" s="11">
        <v>15000000</v>
      </c>
      <c r="L4" s="10"/>
      <c r="M4" s="10"/>
      <c r="N4" s="10">
        <f t="shared" ref="N4" si="3">SUM(K4:M4)</f>
        <v>15000000</v>
      </c>
      <c r="O4" s="10"/>
      <c r="P4" s="10"/>
      <c r="Q4" s="10"/>
      <c r="R4" s="10"/>
      <c r="S4" s="10"/>
      <c r="T4" s="10"/>
      <c r="U4" s="10">
        <f t="shared" ref="U4" si="4">SUM(O4:T4)</f>
        <v>0</v>
      </c>
      <c r="V4" s="11">
        <f t="shared" ref="V4" si="5">K4-U4+L4+M4</f>
        <v>15000000</v>
      </c>
      <c r="W4" s="10"/>
      <c r="X4" s="10"/>
      <c r="Y4" s="10">
        <v>620663.74</v>
      </c>
      <c r="Z4" s="10">
        <v>7583393.6699999999</v>
      </c>
      <c r="AA4" s="10">
        <v>2526979.11</v>
      </c>
      <c r="AB4" s="10">
        <v>3652695.4899999998</v>
      </c>
      <c r="AC4" s="10"/>
      <c r="AD4" s="10">
        <f t="shared" ref="AD4" si="6">SUM(W4:AC4)</f>
        <v>14383732.01</v>
      </c>
      <c r="AE4" s="10">
        <f t="shared" ref="AE4" si="7">V4-AD4</f>
        <v>616267.99000000022</v>
      </c>
      <c r="AF4" s="45">
        <f t="shared" ref="AF4" si="8">AD4/V4</f>
        <v>0.95891546733333333</v>
      </c>
      <c r="AG4" s="106"/>
      <c r="AH4" s="106">
        <v>107717</v>
      </c>
      <c r="AI4" s="106">
        <v>97717</v>
      </c>
      <c r="AJ4" s="106">
        <v>97717</v>
      </c>
      <c r="AK4" s="106">
        <v>97717</v>
      </c>
      <c r="AL4" s="106">
        <v>97717</v>
      </c>
      <c r="AM4" s="106">
        <v>97717</v>
      </c>
      <c r="AN4" s="106">
        <v>19965.990000000002</v>
      </c>
      <c r="AO4" s="106"/>
      <c r="AP4" s="106"/>
      <c r="AQ4" s="105">
        <f t="shared" ref="AQ4" si="9">SUM(AG4:AP4)</f>
        <v>616267.99</v>
      </c>
      <c r="AR4" s="105">
        <f t="shared" ref="AR4" si="10">AQ4-AE4</f>
        <v>0</v>
      </c>
      <c r="AS4" s="104" t="s">
        <v>196</v>
      </c>
      <c r="AT4" s="116" t="s">
        <v>168</v>
      </c>
    </row>
    <row r="5" spans="1:46" x14ac:dyDescent="0.3">
      <c r="A5" s="73"/>
      <c r="B5" s="73"/>
      <c r="C5" s="74"/>
      <c r="D5" s="73"/>
      <c r="E5" s="75"/>
      <c r="F5" s="76"/>
      <c r="G5" s="73"/>
      <c r="H5" s="73"/>
      <c r="I5" s="73"/>
      <c r="J5" s="73"/>
      <c r="K5" s="73"/>
      <c r="L5" s="73"/>
      <c r="M5" s="73"/>
      <c r="N5" s="78">
        <f t="shared" ref="N5:AE5" si="11">SUM(N4:N4)</f>
        <v>15000000</v>
      </c>
      <c r="O5" s="78">
        <f t="shared" si="11"/>
        <v>0</v>
      </c>
      <c r="P5" s="78">
        <f t="shared" si="11"/>
        <v>0</v>
      </c>
      <c r="Q5" s="78">
        <f t="shared" si="11"/>
        <v>0</v>
      </c>
      <c r="R5" s="78">
        <f t="shared" si="11"/>
        <v>0</v>
      </c>
      <c r="S5" s="78">
        <f t="shared" si="11"/>
        <v>0</v>
      </c>
      <c r="T5" s="78">
        <f t="shared" si="11"/>
        <v>0</v>
      </c>
      <c r="U5" s="78">
        <f t="shared" si="11"/>
        <v>0</v>
      </c>
      <c r="V5" s="78">
        <f t="shared" si="11"/>
        <v>15000000</v>
      </c>
      <c r="W5" s="78">
        <f t="shared" si="11"/>
        <v>0</v>
      </c>
      <c r="X5" s="78">
        <f t="shared" si="11"/>
        <v>0</v>
      </c>
      <c r="Y5" s="78">
        <f t="shared" si="11"/>
        <v>620663.74</v>
      </c>
      <c r="Z5" s="78">
        <f t="shared" si="11"/>
        <v>7583393.6699999999</v>
      </c>
      <c r="AA5" s="78">
        <f t="shared" si="11"/>
        <v>2526979.11</v>
      </c>
      <c r="AB5" s="78">
        <f t="shared" si="11"/>
        <v>3652695.4899999998</v>
      </c>
      <c r="AC5" s="78">
        <f t="shared" si="11"/>
        <v>0</v>
      </c>
      <c r="AD5" s="78">
        <f t="shared" si="11"/>
        <v>14383732.01</v>
      </c>
      <c r="AE5" s="78">
        <f t="shared" si="11"/>
        <v>616267.99000000022</v>
      </c>
      <c r="AF5" s="77"/>
      <c r="AG5" s="78">
        <f t="shared" ref="AG5:AR5" si="12">SUM(AG4:AG4)</f>
        <v>0</v>
      </c>
      <c r="AH5" s="78">
        <f t="shared" si="12"/>
        <v>107717</v>
      </c>
      <c r="AI5" s="78">
        <f t="shared" si="12"/>
        <v>97717</v>
      </c>
      <c r="AJ5" s="78">
        <f>SUM(AJ4:AJ4)</f>
        <v>97717</v>
      </c>
      <c r="AK5" s="78">
        <f t="shared" si="12"/>
        <v>97717</v>
      </c>
      <c r="AL5" s="78">
        <f t="shared" si="12"/>
        <v>97717</v>
      </c>
      <c r="AM5" s="78">
        <f t="shared" si="12"/>
        <v>97717</v>
      </c>
      <c r="AN5" s="78">
        <f t="shared" si="12"/>
        <v>19965.990000000002</v>
      </c>
      <c r="AO5" s="78">
        <f t="shared" si="12"/>
        <v>0</v>
      </c>
      <c r="AP5" s="78">
        <f t="shared" si="12"/>
        <v>0</v>
      </c>
      <c r="AQ5" s="78">
        <f t="shared" si="12"/>
        <v>616267.99</v>
      </c>
      <c r="AR5" s="108">
        <f t="shared" si="12"/>
        <v>0</v>
      </c>
      <c r="AS5" s="73"/>
      <c r="AT5" s="73"/>
    </row>
  </sheetData>
  <mergeCells count="2">
    <mergeCell ref="AD2:AE2"/>
    <mergeCell ref="AG2:AR2"/>
  </mergeCells>
  <hyperlinks>
    <hyperlink ref="C4" location="'400-23NVTRI01'!A1" display="23NVTRI01" xr:uid="{F45F5EFE-2E6B-41B5-99DE-86ADE6D4055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9BD14-F7DD-4B7E-B438-40F7F293A68B}">
  <dimension ref="A1:AT12"/>
  <sheetViews>
    <sheetView topLeftCell="AK7" workbookViewId="0">
      <selection activeCell="AP7" sqref="AP7"/>
    </sheetView>
  </sheetViews>
  <sheetFormatPr defaultColWidth="9.44140625" defaultRowHeight="14.4" x14ac:dyDescent="0.3"/>
  <cols>
    <col min="1" max="1" width="8.33203125" customWidth="1"/>
    <col min="2" max="2" width="7.6640625" customWidth="1"/>
    <col min="3" max="3" width="15.5546875" style="47" bestFit="1" customWidth="1"/>
    <col min="4" max="4" width="12.6640625" customWidth="1"/>
    <col min="5" max="5" width="15.6640625" style="16" customWidth="1"/>
    <col min="6" max="6" width="31.5546875" style="19" customWidth="1"/>
    <col min="7" max="7" width="11" customWidth="1"/>
    <col min="8" max="8" width="11.109375" customWidth="1"/>
    <col min="9" max="9" width="7.88671875" customWidth="1"/>
    <col min="10" max="10" width="8" customWidth="1"/>
    <col min="11" max="11" width="16.109375" hidden="1" customWidth="1"/>
    <col min="12" max="12" width="16.88671875" hidden="1" customWidth="1"/>
    <col min="13" max="13" width="14.5546875" hidden="1" customWidth="1"/>
    <col min="14" max="14" width="17.88671875" style="17" customWidth="1"/>
    <col min="15" max="16" width="16.109375" hidden="1" customWidth="1"/>
    <col min="17" max="17" width="16.109375" style="14" hidden="1" customWidth="1"/>
    <col min="18" max="19" width="16.109375" hidden="1" customWidth="1"/>
    <col min="20" max="20" width="15.5546875" hidden="1" customWidth="1"/>
    <col min="21" max="21" width="15" customWidth="1"/>
    <col min="22" max="22" width="17.6640625" customWidth="1"/>
    <col min="23" max="23" width="12.44140625" hidden="1" customWidth="1"/>
    <col min="24" max="25" width="16.33203125" hidden="1" customWidth="1"/>
    <col min="26" max="26" width="16" hidden="1" customWidth="1"/>
    <col min="27" max="27" width="14.5546875" hidden="1" customWidth="1"/>
    <col min="28" max="28" width="15.33203125" hidden="1" customWidth="1"/>
    <col min="29" max="29" width="10.109375" hidden="1" customWidth="1"/>
    <col min="30" max="30" width="18.109375" customWidth="1"/>
    <col min="31" max="31" width="16.88671875" bestFit="1" customWidth="1"/>
    <col min="32" max="32" width="9.44140625" style="15"/>
    <col min="33" max="45" width="17.44140625" customWidth="1"/>
    <col min="46" max="46" width="39.33203125" style="19" customWidth="1"/>
  </cols>
  <sheetData>
    <row r="1" spans="1:46" s="42" customFormat="1" ht="20.25" customHeight="1" thickBot="1" x14ac:dyDescent="0.35">
      <c r="C1" s="40"/>
      <c r="E1" s="79"/>
      <c r="F1" s="80"/>
      <c r="N1" s="50">
        <f t="shared" ref="N1:AE1" si="0">N12</f>
        <v>36684261</v>
      </c>
      <c r="O1" s="50">
        <f t="shared" si="0"/>
        <v>0</v>
      </c>
      <c r="P1" s="50">
        <f t="shared" si="0"/>
        <v>0</v>
      </c>
      <c r="Q1" s="50">
        <f t="shared" si="0"/>
        <v>4618560</v>
      </c>
      <c r="R1" s="50">
        <f t="shared" si="0"/>
        <v>13339.4</v>
      </c>
      <c r="S1" s="50">
        <f t="shared" si="0"/>
        <v>1698250</v>
      </c>
      <c r="T1" s="50">
        <f t="shared" si="0"/>
        <v>0</v>
      </c>
      <c r="U1" s="50">
        <f t="shared" si="0"/>
        <v>6330149.4000000004</v>
      </c>
      <c r="V1" s="50">
        <f t="shared" si="0"/>
        <v>30354111.600000001</v>
      </c>
      <c r="W1" s="50">
        <f t="shared" si="0"/>
        <v>0</v>
      </c>
      <c r="X1" s="50">
        <f t="shared" si="0"/>
        <v>0</v>
      </c>
      <c r="Y1" s="50">
        <f t="shared" si="0"/>
        <v>72614.459999999992</v>
      </c>
      <c r="Z1" s="50">
        <f t="shared" si="0"/>
        <v>2173608.09</v>
      </c>
      <c r="AA1" s="50">
        <f t="shared" si="0"/>
        <v>10664102.689999999</v>
      </c>
      <c r="AB1" s="50">
        <f t="shared" si="0"/>
        <v>7054314.8499999996</v>
      </c>
      <c r="AC1" s="50">
        <f t="shared" si="0"/>
        <v>0</v>
      </c>
      <c r="AD1" s="50">
        <f t="shared" si="0"/>
        <v>19964640.09</v>
      </c>
      <c r="AE1" s="50">
        <f t="shared" si="0"/>
        <v>10389471.509999998</v>
      </c>
      <c r="AF1" s="5"/>
      <c r="AQ1" s="50">
        <f>AQ12</f>
        <v>10389471.510000002</v>
      </c>
      <c r="AT1" s="80"/>
    </row>
    <row r="2" spans="1:46" s="1" customFormat="1" ht="18.600000000000001" thickBot="1" x14ac:dyDescent="0.3">
      <c r="C2" s="40"/>
      <c r="E2" s="2"/>
      <c r="F2" s="41"/>
      <c r="K2" s="3" t="e">
        <f>#REF!</f>
        <v>#REF!</v>
      </c>
      <c r="L2" s="3" t="e">
        <f>#REF!</f>
        <v>#REF!</v>
      </c>
      <c r="M2" s="3" t="e">
        <f>#REF!</f>
        <v>#REF!</v>
      </c>
      <c r="N2" s="4"/>
      <c r="O2" s="3"/>
      <c r="P2" s="3"/>
      <c r="Q2" s="3"/>
      <c r="R2" s="3"/>
      <c r="S2" s="3"/>
      <c r="T2" s="3"/>
      <c r="U2" s="3"/>
      <c r="V2" s="3"/>
      <c r="W2" s="3">
        <f t="shared" ref="W2:AC2" si="1">SUM(W4:W11)</f>
        <v>0</v>
      </c>
      <c r="X2" s="3">
        <f t="shared" si="1"/>
        <v>0</v>
      </c>
      <c r="Y2" s="3">
        <f t="shared" si="1"/>
        <v>72614.459999999992</v>
      </c>
      <c r="Z2" s="3">
        <f t="shared" si="1"/>
        <v>2173608.09</v>
      </c>
      <c r="AA2" s="3">
        <f t="shared" si="1"/>
        <v>10664102.689999999</v>
      </c>
      <c r="AB2" s="3">
        <f t="shared" si="1"/>
        <v>7054314.8499999996</v>
      </c>
      <c r="AC2" s="3">
        <f t="shared" si="1"/>
        <v>0</v>
      </c>
      <c r="AD2" s="129" t="s">
        <v>21</v>
      </c>
      <c r="AE2" s="130"/>
      <c r="AF2" s="5"/>
      <c r="AG2" s="131" t="s">
        <v>22</v>
      </c>
      <c r="AH2" s="132"/>
      <c r="AI2" s="132"/>
      <c r="AJ2" s="132"/>
      <c r="AK2" s="132"/>
      <c r="AL2" s="132"/>
      <c r="AM2" s="132"/>
      <c r="AN2" s="132"/>
      <c r="AO2" s="132"/>
      <c r="AP2" s="132"/>
      <c r="AQ2" s="132"/>
      <c r="AR2" s="133"/>
      <c r="AS2" s="48"/>
      <c r="AT2" s="49"/>
    </row>
    <row r="3" spans="1:46" ht="83.4" thickBot="1" x14ac:dyDescent="0.35">
      <c r="A3" s="85" t="s">
        <v>23</v>
      </c>
      <c r="B3" s="86" t="s">
        <v>24</v>
      </c>
      <c r="C3" s="87" t="s">
        <v>25</v>
      </c>
      <c r="D3" s="88" t="s">
        <v>26</v>
      </c>
      <c r="E3" s="89" t="s">
        <v>27</v>
      </c>
      <c r="F3" s="90" t="s">
        <v>28</v>
      </c>
      <c r="G3" s="91" t="s">
        <v>29</v>
      </c>
      <c r="H3" s="91" t="s">
        <v>30</v>
      </c>
      <c r="I3" s="91" t="s">
        <v>31</v>
      </c>
      <c r="J3" s="91" t="s">
        <v>32</v>
      </c>
      <c r="K3" s="18" t="s">
        <v>33</v>
      </c>
      <c r="L3" s="92" t="s">
        <v>34</v>
      </c>
      <c r="M3" s="18" t="s">
        <v>35</v>
      </c>
      <c r="N3" s="18" t="s">
        <v>36</v>
      </c>
      <c r="O3" s="93" t="s">
        <v>37</v>
      </c>
      <c r="P3" s="93" t="s">
        <v>38</v>
      </c>
      <c r="Q3" s="93" t="s">
        <v>39</v>
      </c>
      <c r="R3" s="93" t="s">
        <v>40</v>
      </c>
      <c r="S3" s="93" t="s">
        <v>41</v>
      </c>
      <c r="T3" s="93" t="s">
        <v>42</v>
      </c>
      <c r="U3" s="93" t="s">
        <v>43</v>
      </c>
      <c r="V3" s="94" t="s">
        <v>44</v>
      </c>
      <c r="W3" s="95" t="s">
        <v>45</v>
      </c>
      <c r="X3" s="95" t="s">
        <v>46</v>
      </c>
      <c r="Y3" s="96" t="s">
        <v>47</v>
      </c>
      <c r="Z3" s="96" t="s">
        <v>48</v>
      </c>
      <c r="AA3" s="96" t="s">
        <v>49</v>
      </c>
      <c r="AB3" s="95" t="s">
        <v>50</v>
      </c>
      <c r="AC3" s="95" t="s">
        <v>51</v>
      </c>
      <c r="AD3" s="97" t="s">
        <v>52</v>
      </c>
      <c r="AE3" s="98" t="s">
        <v>53</v>
      </c>
      <c r="AF3" s="99" t="s">
        <v>54</v>
      </c>
      <c r="AG3" s="100" t="s">
        <v>55</v>
      </c>
      <c r="AH3" s="101">
        <v>46158</v>
      </c>
      <c r="AI3" s="101">
        <f t="shared" ref="AI3:AO3" si="2">AH3+30</f>
        <v>46188</v>
      </c>
      <c r="AJ3" s="101">
        <f t="shared" si="2"/>
        <v>46218</v>
      </c>
      <c r="AK3" s="101">
        <f t="shared" si="2"/>
        <v>46248</v>
      </c>
      <c r="AL3" s="101">
        <f t="shared" si="2"/>
        <v>46278</v>
      </c>
      <c r="AM3" s="101">
        <f t="shared" si="2"/>
        <v>46308</v>
      </c>
      <c r="AN3" s="101">
        <f t="shared" si="2"/>
        <v>46338</v>
      </c>
      <c r="AO3" s="101">
        <f t="shared" si="2"/>
        <v>46368</v>
      </c>
      <c r="AP3" s="100" t="s">
        <v>56</v>
      </c>
      <c r="AQ3" s="100" t="s">
        <v>57</v>
      </c>
      <c r="AR3" s="100" t="s">
        <v>58</v>
      </c>
      <c r="AS3" s="102" t="s">
        <v>59</v>
      </c>
      <c r="AT3" s="103" t="s">
        <v>60</v>
      </c>
    </row>
    <row r="4" spans="1:46" ht="72" x14ac:dyDescent="0.3">
      <c r="A4" s="43" t="s">
        <v>70</v>
      </c>
      <c r="B4" s="43" t="s">
        <v>62</v>
      </c>
      <c r="C4" s="56" t="s">
        <v>63</v>
      </c>
      <c r="D4" s="6" t="s">
        <v>64</v>
      </c>
      <c r="E4" s="6" t="s">
        <v>65</v>
      </c>
      <c r="F4" s="44" t="s">
        <v>66</v>
      </c>
      <c r="G4" s="7">
        <v>44854</v>
      </c>
      <c r="H4" s="7">
        <v>46203</v>
      </c>
      <c r="I4" s="12">
        <v>3276</v>
      </c>
      <c r="J4" s="9">
        <v>40</v>
      </c>
      <c r="K4" s="11">
        <v>368100</v>
      </c>
      <c r="L4" s="10"/>
      <c r="M4" s="10"/>
      <c r="N4" s="10">
        <f t="shared" ref="N4:N11" si="3">SUM(K4:M4)</f>
        <v>368100</v>
      </c>
      <c r="O4" s="10"/>
      <c r="P4" s="10"/>
      <c r="Q4" s="10"/>
      <c r="R4" s="10">
        <v>13339.4</v>
      </c>
      <c r="S4" s="10"/>
      <c r="T4" s="10"/>
      <c r="U4" s="10">
        <f t="shared" ref="U4:U11" si="4">SUM(O4:T4)</f>
        <v>13339.4</v>
      </c>
      <c r="V4" s="11">
        <f t="shared" ref="V4:V11" si="5">K4-U4+L4+M4</f>
        <v>354760.6</v>
      </c>
      <c r="W4" s="10"/>
      <c r="X4" s="10"/>
      <c r="Y4" s="10">
        <v>16749.46</v>
      </c>
      <c r="Z4" s="10">
        <v>69421.2</v>
      </c>
      <c r="AA4" s="10">
        <v>155690.70000000001</v>
      </c>
      <c r="AB4" s="10">
        <v>88333.329999999987</v>
      </c>
      <c r="AC4" s="10"/>
      <c r="AD4" s="10">
        <f t="shared" ref="AD4:AD11" si="6">SUM(W4:AC4)</f>
        <v>330194.69</v>
      </c>
      <c r="AE4" s="10">
        <f t="shared" ref="AE4:AE11" si="7">V4-AD4</f>
        <v>24565.909999999974</v>
      </c>
      <c r="AF4" s="45">
        <f t="shared" ref="AF4:AF11" si="8">AD4/V4</f>
        <v>0.93075355606005861</v>
      </c>
      <c r="AG4" s="106">
        <v>6836.4</v>
      </c>
      <c r="AH4" s="106">
        <v>9115.2000000000007</v>
      </c>
      <c r="AI4" s="106">
        <v>8614.31</v>
      </c>
      <c r="AJ4" s="107"/>
      <c r="AK4" s="107"/>
      <c r="AL4" s="107"/>
      <c r="AM4" s="107"/>
      <c r="AN4" s="107"/>
      <c r="AO4" s="107"/>
      <c r="AP4" s="107"/>
      <c r="AQ4" s="105">
        <f t="shared" ref="AQ4:AQ10" si="9">SUM(AG4:AP4)</f>
        <v>24565.91</v>
      </c>
      <c r="AR4" s="105">
        <f t="shared" ref="AR4:AR11" si="10">AQ4-AE4</f>
        <v>0</v>
      </c>
      <c r="AS4" s="104" t="s">
        <v>169</v>
      </c>
      <c r="AT4" s="116" t="s">
        <v>200</v>
      </c>
    </row>
    <row r="5" spans="1:46" ht="158.4" x14ac:dyDescent="0.3">
      <c r="A5" s="43" t="s">
        <v>70</v>
      </c>
      <c r="B5" s="43" t="s">
        <v>71</v>
      </c>
      <c r="C5" s="56" t="s">
        <v>72</v>
      </c>
      <c r="D5" s="6" t="s">
        <v>73</v>
      </c>
      <c r="E5" s="6" t="s">
        <v>65</v>
      </c>
      <c r="F5" s="44" t="s">
        <v>74</v>
      </c>
      <c r="G5" s="7">
        <v>45330</v>
      </c>
      <c r="H5" s="7">
        <v>46387</v>
      </c>
      <c r="I5" s="12">
        <v>3151</v>
      </c>
      <c r="J5" s="9">
        <v>41</v>
      </c>
      <c r="K5" s="11">
        <v>7500000</v>
      </c>
      <c r="L5" s="10"/>
      <c r="M5" s="10"/>
      <c r="N5" s="10">
        <f t="shared" si="3"/>
        <v>7500000</v>
      </c>
      <c r="O5" s="10"/>
      <c r="P5" s="10"/>
      <c r="Q5" s="10"/>
      <c r="R5" s="10"/>
      <c r="S5" s="10"/>
      <c r="T5" s="10"/>
      <c r="U5" s="10">
        <f t="shared" si="4"/>
        <v>0</v>
      </c>
      <c r="V5" s="11">
        <f t="shared" si="5"/>
        <v>7500000</v>
      </c>
      <c r="W5" s="10"/>
      <c r="X5" s="10"/>
      <c r="Y5" s="10">
        <v>55865</v>
      </c>
      <c r="Z5" s="10">
        <v>367393.98</v>
      </c>
      <c r="AA5" s="10">
        <v>3197831.0700000003</v>
      </c>
      <c r="AB5" s="10">
        <v>2033533.08</v>
      </c>
      <c r="AC5" s="10"/>
      <c r="AD5" s="10">
        <f t="shared" si="6"/>
        <v>5654623.1300000008</v>
      </c>
      <c r="AE5" s="10">
        <f t="shared" si="7"/>
        <v>1845376.8699999992</v>
      </c>
      <c r="AF5" s="45">
        <f t="shared" si="8"/>
        <v>0.75394975066666681</v>
      </c>
      <c r="AG5" s="106"/>
      <c r="AH5" s="126">
        <v>249747.5</v>
      </c>
      <c r="AI5" s="126">
        <v>249747.5</v>
      </c>
      <c r="AJ5" s="126">
        <v>487147.5</v>
      </c>
      <c r="AK5" s="126">
        <v>249747.5</v>
      </c>
      <c r="AL5" s="126">
        <v>232179.33000000002</v>
      </c>
      <c r="AM5" s="126">
        <v>220347.5</v>
      </c>
      <c r="AN5" s="126">
        <v>156460.04</v>
      </c>
      <c r="AO5" s="106"/>
      <c r="AP5" s="106"/>
      <c r="AQ5" s="105">
        <f t="shared" si="9"/>
        <v>1845376.87</v>
      </c>
      <c r="AR5" s="105">
        <f t="shared" si="10"/>
        <v>0</v>
      </c>
      <c r="AS5" s="104" t="s">
        <v>169</v>
      </c>
      <c r="AT5" s="116" t="s">
        <v>201</v>
      </c>
    </row>
    <row r="6" spans="1:46" ht="72" x14ac:dyDescent="0.3">
      <c r="A6" s="43" t="s">
        <v>70</v>
      </c>
      <c r="B6" s="43" t="s">
        <v>71</v>
      </c>
      <c r="C6" s="56" t="s">
        <v>75</v>
      </c>
      <c r="D6" s="6" t="s">
        <v>73</v>
      </c>
      <c r="E6" s="6" t="s">
        <v>65</v>
      </c>
      <c r="F6" s="44" t="s">
        <v>76</v>
      </c>
      <c r="G6" s="7">
        <v>44854</v>
      </c>
      <c r="H6" s="7">
        <v>46387</v>
      </c>
      <c r="I6" s="12">
        <v>3278</v>
      </c>
      <c r="J6" s="9">
        <v>62</v>
      </c>
      <c r="K6" s="11">
        <v>5000000</v>
      </c>
      <c r="L6" s="10"/>
      <c r="M6" s="10"/>
      <c r="N6" s="10">
        <f t="shared" si="3"/>
        <v>5000000</v>
      </c>
      <c r="O6" s="10">
        <v>0</v>
      </c>
      <c r="P6" s="10"/>
      <c r="Q6" s="10">
        <v>2000000</v>
      </c>
      <c r="R6" s="10"/>
      <c r="S6" s="10"/>
      <c r="T6" s="10"/>
      <c r="U6" s="10">
        <f t="shared" si="4"/>
        <v>2000000</v>
      </c>
      <c r="V6" s="11">
        <f t="shared" si="5"/>
        <v>3000000</v>
      </c>
      <c r="W6" s="10"/>
      <c r="X6" s="10"/>
      <c r="Y6" s="10"/>
      <c r="Z6" s="10">
        <v>5084.5600000000004</v>
      </c>
      <c r="AA6" s="10">
        <v>360844.61999999994</v>
      </c>
      <c r="AB6" s="10">
        <v>889435.7</v>
      </c>
      <c r="AC6" s="10"/>
      <c r="AD6" s="10">
        <f t="shared" si="6"/>
        <v>1255364.8799999999</v>
      </c>
      <c r="AE6" s="10">
        <f t="shared" si="7"/>
        <v>1744635.12</v>
      </c>
      <c r="AF6" s="45">
        <f t="shared" si="8"/>
        <v>0.41845495999999999</v>
      </c>
      <c r="AG6" s="106"/>
      <c r="AH6" s="126">
        <v>250000</v>
      </c>
      <c r="AI6" s="126">
        <v>250000</v>
      </c>
      <c r="AJ6" s="126">
        <v>250000</v>
      </c>
      <c r="AK6" s="126">
        <v>250000</v>
      </c>
      <c r="AL6" s="126">
        <v>250000</v>
      </c>
      <c r="AM6" s="126">
        <v>250000</v>
      </c>
      <c r="AN6" s="126">
        <v>164000</v>
      </c>
      <c r="AO6" s="126">
        <v>80635.12</v>
      </c>
      <c r="AP6" s="106"/>
      <c r="AQ6" s="105">
        <f t="shared" si="9"/>
        <v>1744635.12</v>
      </c>
      <c r="AR6" s="105">
        <f t="shared" si="10"/>
        <v>0</v>
      </c>
      <c r="AS6" s="104" t="s">
        <v>169</v>
      </c>
      <c r="AT6" s="116" t="s">
        <v>202</v>
      </c>
    </row>
    <row r="7" spans="1:46" ht="144" x14ac:dyDescent="0.3">
      <c r="A7" s="43" t="s">
        <v>70</v>
      </c>
      <c r="B7" s="43" t="s">
        <v>71</v>
      </c>
      <c r="C7" s="56" t="s">
        <v>77</v>
      </c>
      <c r="D7" s="6" t="s">
        <v>73</v>
      </c>
      <c r="E7" s="6" t="s">
        <v>65</v>
      </c>
      <c r="F7" s="44" t="s">
        <v>78</v>
      </c>
      <c r="G7" s="7">
        <v>44854</v>
      </c>
      <c r="H7" s="7">
        <v>46295</v>
      </c>
      <c r="I7" s="12">
        <v>3278</v>
      </c>
      <c r="J7" s="9">
        <v>62</v>
      </c>
      <c r="K7" s="11">
        <v>1559280</v>
      </c>
      <c r="L7" s="10"/>
      <c r="M7" s="10"/>
      <c r="N7" s="10">
        <f t="shared" si="3"/>
        <v>1559280</v>
      </c>
      <c r="O7" s="10">
        <v>0</v>
      </c>
      <c r="P7" s="10"/>
      <c r="Q7" s="10">
        <v>59280</v>
      </c>
      <c r="R7" s="10"/>
      <c r="S7" s="10"/>
      <c r="T7" s="10"/>
      <c r="U7" s="10">
        <f t="shared" si="4"/>
        <v>59280</v>
      </c>
      <c r="V7" s="11">
        <f t="shared" si="5"/>
        <v>1500000</v>
      </c>
      <c r="W7" s="10"/>
      <c r="X7" s="10"/>
      <c r="Y7" s="10"/>
      <c r="Z7" s="10">
        <v>193311.08</v>
      </c>
      <c r="AA7" s="10">
        <v>916278.09000000008</v>
      </c>
      <c r="AB7" s="10">
        <v>207135.16000000003</v>
      </c>
      <c r="AC7" s="10"/>
      <c r="AD7" s="10">
        <f t="shared" si="6"/>
        <v>1316724.33</v>
      </c>
      <c r="AE7" s="10">
        <f t="shared" si="7"/>
        <v>183275.66999999993</v>
      </c>
      <c r="AF7" s="45">
        <f t="shared" si="8"/>
        <v>0.87781622000000004</v>
      </c>
      <c r="AG7" s="106"/>
      <c r="AH7" s="106">
        <v>65000</v>
      </c>
      <c r="AI7" s="106">
        <v>65000</v>
      </c>
      <c r="AJ7" s="106">
        <v>53275.67</v>
      </c>
      <c r="AK7" s="106"/>
      <c r="AL7" s="106"/>
      <c r="AM7" s="107"/>
      <c r="AN7" s="107"/>
      <c r="AO7" s="107"/>
      <c r="AP7" s="107"/>
      <c r="AQ7" s="105">
        <f t="shared" si="9"/>
        <v>183275.66999999998</v>
      </c>
      <c r="AR7" s="105">
        <f t="shared" si="10"/>
        <v>0</v>
      </c>
      <c r="AS7" s="104" t="s">
        <v>169</v>
      </c>
      <c r="AT7" s="116" t="s">
        <v>203</v>
      </c>
    </row>
    <row r="8" spans="1:46" ht="28.8" x14ac:dyDescent="0.3">
      <c r="A8" s="43" t="s">
        <v>70</v>
      </c>
      <c r="B8" s="43" t="s">
        <v>71</v>
      </c>
      <c r="C8" s="56" t="s">
        <v>79</v>
      </c>
      <c r="D8" s="6" t="s">
        <v>73</v>
      </c>
      <c r="E8" s="6" t="s">
        <v>65</v>
      </c>
      <c r="F8" s="44" t="s">
        <v>80</v>
      </c>
      <c r="G8" s="7">
        <v>44854</v>
      </c>
      <c r="H8" s="7">
        <v>46387</v>
      </c>
      <c r="I8" s="12">
        <v>3278</v>
      </c>
      <c r="J8" s="9">
        <v>62</v>
      </c>
      <c r="K8" s="11">
        <v>2090000</v>
      </c>
      <c r="L8" s="10"/>
      <c r="M8" s="10"/>
      <c r="N8" s="10">
        <f t="shared" si="3"/>
        <v>2090000</v>
      </c>
      <c r="O8" s="10">
        <v>0</v>
      </c>
      <c r="P8" s="10"/>
      <c r="Q8" s="10">
        <v>59280</v>
      </c>
      <c r="R8" s="10"/>
      <c r="S8" s="10"/>
      <c r="T8" s="10"/>
      <c r="U8" s="10">
        <f t="shared" si="4"/>
        <v>59280</v>
      </c>
      <c r="V8" s="11">
        <f t="shared" si="5"/>
        <v>2030720</v>
      </c>
      <c r="W8" s="10"/>
      <c r="X8" s="10"/>
      <c r="Y8" s="10"/>
      <c r="Z8" s="10">
        <v>1001269.81</v>
      </c>
      <c r="AA8" s="10">
        <v>942256.52999999991</v>
      </c>
      <c r="AB8" s="10">
        <v>76700.5</v>
      </c>
      <c r="AC8" s="10"/>
      <c r="AD8" s="10">
        <f t="shared" si="6"/>
        <v>2020226.8399999999</v>
      </c>
      <c r="AE8" s="10">
        <f t="shared" si="7"/>
        <v>10493.160000000149</v>
      </c>
      <c r="AF8" s="45">
        <f t="shared" si="8"/>
        <v>0.99483278837062705</v>
      </c>
      <c r="AG8" s="106"/>
      <c r="AH8" s="126">
        <v>10493.16</v>
      </c>
      <c r="AI8" s="126"/>
      <c r="AJ8" s="106"/>
      <c r="AK8" s="106"/>
      <c r="AL8" s="106"/>
      <c r="AM8" s="106"/>
      <c r="AN8" s="106"/>
      <c r="AO8" s="106"/>
      <c r="AP8" s="106"/>
      <c r="AQ8" s="105">
        <f t="shared" si="9"/>
        <v>10493.16</v>
      </c>
      <c r="AR8" s="105">
        <f t="shared" si="10"/>
        <v>-1.4915713109076023E-10</v>
      </c>
      <c r="AS8" s="104" t="s">
        <v>169</v>
      </c>
      <c r="AT8" s="116" t="s">
        <v>204</v>
      </c>
    </row>
    <row r="9" spans="1:46" ht="28.8" x14ac:dyDescent="0.3">
      <c r="A9" s="43" t="s">
        <v>70</v>
      </c>
      <c r="B9" s="43" t="s">
        <v>71</v>
      </c>
      <c r="C9" s="57" t="s">
        <v>81</v>
      </c>
      <c r="D9" s="6" t="s">
        <v>73</v>
      </c>
      <c r="E9" s="6" t="s">
        <v>65</v>
      </c>
      <c r="F9" s="44" t="s">
        <v>82</v>
      </c>
      <c r="G9" s="7">
        <v>44854</v>
      </c>
      <c r="H9" s="7">
        <v>46387</v>
      </c>
      <c r="I9" s="12">
        <v>3279</v>
      </c>
      <c r="J9" s="9">
        <v>34</v>
      </c>
      <c r="K9" s="11">
        <v>14520000</v>
      </c>
      <c r="L9" s="10"/>
      <c r="M9" s="10"/>
      <c r="N9" s="10">
        <f t="shared" si="3"/>
        <v>14520000</v>
      </c>
      <c r="O9" s="10"/>
      <c r="P9" s="10"/>
      <c r="Q9" s="10">
        <v>2000000</v>
      </c>
      <c r="R9" s="10"/>
      <c r="S9" s="10">
        <f>1098250+600000</f>
        <v>1698250</v>
      </c>
      <c r="T9" s="10"/>
      <c r="U9" s="10">
        <f t="shared" si="4"/>
        <v>3698250</v>
      </c>
      <c r="V9" s="11">
        <f t="shared" si="5"/>
        <v>10821750</v>
      </c>
      <c r="W9" s="10"/>
      <c r="X9" s="10"/>
      <c r="Y9" s="10"/>
      <c r="Z9" s="10">
        <v>185103.93999999997</v>
      </c>
      <c r="AA9" s="10">
        <v>1468023.9800000004</v>
      </c>
      <c r="AB9" s="10">
        <v>2880295.9099999997</v>
      </c>
      <c r="AC9" s="10"/>
      <c r="AD9" s="10">
        <f t="shared" si="6"/>
        <v>4533423.83</v>
      </c>
      <c r="AE9" s="10">
        <f t="shared" si="7"/>
        <v>6288326.1699999999</v>
      </c>
      <c r="AF9" s="45">
        <f t="shared" si="8"/>
        <v>0.41891781181417054</v>
      </c>
      <c r="AG9" s="106"/>
      <c r="AH9" s="106">
        <v>786040.77</v>
      </c>
      <c r="AI9" s="106">
        <v>786040.77</v>
      </c>
      <c r="AJ9" s="106">
        <v>786040.77</v>
      </c>
      <c r="AK9" s="106">
        <v>786040.77</v>
      </c>
      <c r="AL9" s="106">
        <v>786040.77</v>
      </c>
      <c r="AM9" s="106">
        <v>786040.77</v>
      </c>
      <c r="AN9" s="106">
        <v>786040.77</v>
      </c>
      <c r="AO9" s="106">
        <v>786040.78</v>
      </c>
      <c r="AP9" s="106">
        <v>0</v>
      </c>
      <c r="AQ9" s="105">
        <f t="shared" si="9"/>
        <v>6288326.1700000009</v>
      </c>
      <c r="AR9" s="105">
        <f t="shared" si="10"/>
        <v>0</v>
      </c>
      <c r="AS9" s="104" t="s">
        <v>205</v>
      </c>
      <c r="AT9" s="116" t="s">
        <v>206</v>
      </c>
    </row>
    <row r="10" spans="1:46" x14ac:dyDescent="0.3">
      <c r="A10" s="43" t="s">
        <v>70</v>
      </c>
      <c r="B10" s="65" t="s">
        <v>71</v>
      </c>
      <c r="C10" s="66" t="s">
        <v>83</v>
      </c>
      <c r="D10" s="58" t="s">
        <v>73</v>
      </c>
      <c r="E10" s="6" t="s">
        <v>65</v>
      </c>
      <c r="F10" s="44" t="s">
        <v>84</v>
      </c>
      <c r="G10" s="7">
        <v>44854</v>
      </c>
      <c r="H10" s="7">
        <v>46295</v>
      </c>
      <c r="I10" s="12">
        <v>3278</v>
      </c>
      <c r="J10" s="9">
        <v>63</v>
      </c>
      <c r="K10" s="11">
        <v>4000000</v>
      </c>
      <c r="L10" s="10"/>
      <c r="M10" s="10"/>
      <c r="N10" s="10">
        <f t="shared" si="3"/>
        <v>4000000</v>
      </c>
      <c r="O10" s="10"/>
      <c r="P10" s="10"/>
      <c r="Q10" s="10"/>
      <c r="R10" s="10"/>
      <c r="S10" s="10"/>
      <c r="T10" s="10"/>
      <c r="U10" s="10">
        <f t="shared" si="4"/>
        <v>0</v>
      </c>
      <c r="V10" s="11">
        <f t="shared" si="5"/>
        <v>4000000</v>
      </c>
      <c r="W10" s="10"/>
      <c r="X10" s="10"/>
      <c r="Y10" s="10"/>
      <c r="Z10" s="10">
        <v>127023.52</v>
      </c>
      <c r="AA10" s="10">
        <v>3144731.7399999998</v>
      </c>
      <c r="AB10" s="10">
        <v>715680.38000000012</v>
      </c>
      <c r="AC10" s="10"/>
      <c r="AD10" s="10">
        <f t="shared" si="6"/>
        <v>3987435.6399999997</v>
      </c>
      <c r="AE10" s="10">
        <f t="shared" si="7"/>
        <v>12564.360000000335</v>
      </c>
      <c r="AF10" s="45">
        <f t="shared" si="8"/>
        <v>0.99685890999999993</v>
      </c>
      <c r="AG10" s="106"/>
      <c r="AH10" s="106">
        <v>12564.36</v>
      </c>
      <c r="AI10" s="106"/>
      <c r="AJ10" s="106"/>
      <c r="AK10" s="106"/>
      <c r="AL10" s="106"/>
      <c r="AM10" s="107"/>
      <c r="AN10" s="107"/>
      <c r="AO10" s="107"/>
      <c r="AP10" s="107"/>
      <c r="AQ10" s="105">
        <f t="shared" si="9"/>
        <v>12564.36</v>
      </c>
      <c r="AR10" s="105">
        <f t="shared" si="10"/>
        <v>-3.3469405025243759E-10</v>
      </c>
      <c r="AS10" s="104" t="s">
        <v>169</v>
      </c>
      <c r="AT10" s="116" t="s">
        <v>207</v>
      </c>
    </row>
    <row r="11" spans="1:46" ht="201.6" x14ac:dyDescent="0.3">
      <c r="A11" s="67" t="s">
        <v>70</v>
      </c>
      <c r="B11" s="68" t="s">
        <v>71</v>
      </c>
      <c r="C11" s="69" t="s">
        <v>85</v>
      </c>
      <c r="D11" s="60" t="s">
        <v>73</v>
      </c>
      <c r="E11" s="62" t="s">
        <v>65</v>
      </c>
      <c r="F11" s="44" t="s">
        <v>86</v>
      </c>
      <c r="G11" s="7">
        <v>44854</v>
      </c>
      <c r="H11" s="7">
        <v>46387</v>
      </c>
      <c r="I11" s="12">
        <v>3278</v>
      </c>
      <c r="J11" s="9">
        <v>62</v>
      </c>
      <c r="K11" s="11">
        <v>1646881</v>
      </c>
      <c r="L11" s="10"/>
      <c r="M11" s="10"/>
      <c r="N11" s="10">
        <f t="shared" si="3"/>
        <v>1646881</v>
      </c>
      <c r="O11" s="10">
        <v>0</v>
      </c>
      <c r="P11" s="10"/>
      <c r="Q11" s="10">
        <v>500000</v>
      </c>
      <c r="R11" s="10"/>
      <c r="S11" s="10"/>
      <c r="T11" s="10"/>
      <c r="U11" s="10">
        <f t="shared" si="4"/>
        <v>500000</v>
      </c>
      <c r="V11" s="11">
        <f t="shared" si="5"/>
        <v>1146881</v>
      </c>
      <c r="W11" s="10"/>
      <c r="X11" s="10"/>
      <c r="Y11" s="10"/>
      <c r="Z11" s="10">
        <v>225000</v>
      </c>
      <c r="AA11" s="10">
        <v>478445.95999999985</v>
      </c>
      <c r="AB11" s="10">
        <v>163200.79</v>
      </c>
      <c r="AC11" s="10"/>
      <c r="AD11" s="10">
        <f t="shared" si="6"/>
        <v>866646.74999999988</v>
      </c>
      <c r="AE11" s="10">
        <f t="shared" si="7"/>
        <v>280234.25000000012</v>
      </c>
      <c r="AF11" s="45">
        <f t="shared" si="8"/>
        <v>0.75565533826090059</v>
      </c>
      <c r="AG11" s="106"/>
      <c r="AH11" s="126">
        <v>50500</v>
      </c>
      <c r="AI11" s="126">
        <v>50500</v>
      </c>
      <c r="AJ11" s="126">
        <v>55000</v>
      </c>
      <c r="AK11" s="126">
        <v>55000</v>
      </c>
      <c r="AL11" s="126">
        <v>20000</v>
      </c>
      <c r="AM11" s="126">
        <v>20000</v>
      </c>
      <c r="AN11" s="126">
        <v>20000</v>
      </c>
      <c r="AO11" s="126">
        <v>9234.25</v>
      </c>
      <c r="AP11" s="106"/>
      <c r="AQ11" s="105">
        <f>SUM(AG11:AP11)</f>
        <v>280234.25</v>
      </c>
      <c r="AR11" s="105">
        <f t="shared" si="10"/>
        <v>0</v>
      </c>
      <c r="AS11" s="104" t="s">
        <v>169</v>
      </c>
      <c r="AT11" s="116" t="s">
        <v>208</v>
      </c>
    </row>
    <row r="12" spans="1:46" x14ac:dyDescent="0.3">
      <c r="A12" s="73"/>
      <c r="B12" s="73"/>
      <c r="C12" s="74"/>
      <c r="D12" s="73"/>
      <c r="E12" s="75"/>
      <c r="F12" s="76"/>
      <c r="G12" s="73"/>
      <c r="H12" s="73"/>
      <c r="I12" s="73"/>
      <c r="J12" s="73"/>
      <c r="K12" s="73"/>
      <c r="L12" s="73"/>
      <c r="M12" s="73"/>
      <c r="N12" s="78">
        <f t="shared" ref="N12:AE12" si="11">SUM(N4:N11)</f>
        <v>36684261</v>
      </c>
      <c r="O12" s="78">
        <f t="shared" si="11"/>
        <v>0</v>
      </c>
      <c r="P12" s="78">
        <f t="shared" si="11"/>
        <v>0</v>
      </c>
      <c r="Q12" s="78">
        <f t="shared" si="11"/>
        <v>4618560</v>
      </c>
      <c r="R12" s="78">
        <f t="shared" si="11"/>
        <v>13339.4</v>
      </c>
      <c r="S12" s="78">
        <f t="shared" si="11"/>
        <v>1698250</v>
      </c>
      <c r="T12" s="78">
        <f t="shared" si="11"/>
        <v>0</v>
      </c>
      <c r="U12" s="78">
        <f t="shared" si="11"/>
        <v>6330149.4000000004</v>
      </c>
      <c r="V12" s="78">
        <f t="shared" si="11"/>
        <v>30354111.600000001</v>
      </c>
      <c r="W12" s="78">
        <f t="shared" si="11"/>
        <v>0</v>
      </c>
      <c r="X12" s="78">
        <f t="shared" si="11"/>
        <v>0</v>
      </c>
      <c r="Y12" s="78">
        <f t="shared" si="11"/>
        <v>72614.459999999992</v>
      </c>
      <c r="Z12" s="78">
        <f t="shared" si="11"/>
        <v>2173608.09</v>
      </c>
      <c r="AA12" s="78">
        <f t="shared" si="11"/>
        <v>10664102.689999999</v>
      </c>
      <c r="AB12" s="78">
        <f t="shared" si="11"/>
        <v>7054314.8499999996</v>
      </c>
      <c r="AC12" s="78">
        <f t="shared" si="11"/>
        <v>0</v>
      </c>
      <c r="AD12" s="78">
        <f t="shared" si="11"/>
        <v>19964640.09</v>
      </c>
      <c r="AE12" s="78">
        <f t="shared" si="11"/>
        <v>10389471.509999998</v>
      </c>
      <c r="AF12" s="77"/>
      <c r="AG12" s="78">
        <f t="shared" ref="AG12:AR12" si="12">SUM(AG4:AG11)</f>
        <v>6836.4</v>
      </c>
      <c r="AH12" s="78">
        <f t="shared" si="12"/>
        <v>1433460.99</v>
      </c>
      <c r="AI12" s="78">
        <f t="shared" si="12"/>
        <v>1409902.58</v>
      </c>
      <c r="AJ12" s="78">
        <f t="shared" si="12"/>
        <v>1631463.94</v>
      </c>
      <c r="AK12" s="78">
        <f t="shared" si="12"/>
        <v>1340788.27</v>
      </c>
      <c r="AL12" s="78">
        <f t="shared" si="12"/>
        <v>1288220.1000000001</v>
      </c>
      <c r="AM12" s="78">
        <f t="shared" si="12"/>
        <v>1276388.27</v>
      </c>
      <c r="AN12" s="78">
        <f t="shared" si="12"/>
        <v>1126500.81</v>
      </c>
      <c r="AO12" s="78">
        <f t="shared" si="12"/>
        <v>875910.15</v>
      </c>
      <c r="AP12" s="78">
        <f t="shared" si="12"/>
        <v>0</v>
      </c>
      <c r="AQ12" s="78">
        <f t="shared" si="12"/>
        <v>10389471.510000002</v>
      </c>
      <c r="AR12" s="108">
        <f t="shared" si="12"/>
        <v>-4.8385118134319782E-10</v>
      </c>
      <c r="AS12" s="73"/>
      <c r="AT12" s="76"/>
    </row>
  </sheetData>
  <autoFilter ref="A3:AT12" xr:uid="{7219BD14-F7DD-4B7E-B438-40F7F293A68B}"/>
  <mergeCells count="2">
    <mergeCell ref="AD2:AE2"/>
    <mergeCell ref="AG2:AR2"/>
  </mergeCells>
  <hyperlinks>
    <hyperlink ref="C4" location="'400-23EIPRC01'!A1" display="23EIPRC01" xr:uid="{EC631E94-1E88-40AB-869B-890BB4FAE053}"/>
    <hyperlink ref="C7" location="'402-23HCAPD01'!A1" display="23HCAPD01" xr:uid="{DC418735-38EF-49C9-B038-6D8A3A2A9C29}"/>
    <hyperlink ref="C8" location="'402-23INHSV01'!A1" display="23INHSV01" xr:uid="{C0AF9CCD-7F5C-4236-976A-3C0A3EF5CC65}"/>
    <hyperlink ref="C10" location="'402-23RSBEX01'!A1" display="23RSBEX01" xr:uid="{18AA24DE-0500-4C16-893E-BE1A413AE985}"/>
    <hyperlink ref="C11" location="'402-23SVNEX01'!A1" display="23SVNEX01" xr:uid="{A2341F80-56EA-40D2-B109-0A2CC6AD9017}"/>
    <hyperlink ref="C5" location="'402-23CMSMI01'!A1" display="23CMSMI01" xr:uid="{73C4CD6E-C277-418D-AB87-44E56A2719E4}"/>
    <hyperlink ref="C6" location="'402-23FCWPL01'!A1" display="23FCWPL01" xr:uid="{A9DA7898-55E9-4F85-BFF0-EEAED78D65E4}"/>
    <hyperlink ref="C9" location="'402-23RFPCN01'!Print_Area" display="23RFPCN01" xr:uid="{8C0A4EB6-CE9E-4223-970D-C5FC0CD48B6A}"/>
  </hyperlink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3643D-0697-4FF4-99AD-2B4653CAAC3F}">
  <dimension ref="A1:AT19"/>
  <sheetViews>
    <sheetView topLeftCell="AG8" workbookViewId="0">
      <selection activeCell="AP9" sqref="AP9"/>
    </sheetView>
  </sheetViews>
  <sheetFormatPr defaultColWidth="9.44140625" defaultRowHeight="14.4" x14ac:dyDescent="0.3"/>
  <cols>
    <col min="1" max="1" width="8.33203125" customWidth="1"/>
    <col min="2" max="2" width="7.6640625" customWidth="1"/>
    <col min="3" max="3" width="15.5546875" style="47" bestFit="1" customWidth="1"/>
    <col min="4" max="4" width="12.6640625" customWidth="1"/>
    <col min="5" max="5" width="15.6640625" style="16" customWidth="1"/>
    <col min="6" max="6" width="31.5546875" style="19" customWidth="1"/>
    <col min="7" max="7" width="11" customWidth="1"/>
    <col min="8" max="8" width="11.109375" customWidth="1"/>
    <col min="9" max="9" width="7.88671875" customWidth="1"/>
    <col min="10" max="10" width="8" customWidth="1"/>
    <col min="11" max="11" width="16.109375" hidden="1" customWidth="1"/>
    <col min="12" max="12" width="16.88671875" hidden="1" customWidth="1"/>
    <col min="13" max="13" width="14.5546875" hidden="1" customWidth="1"/>
    <col min="14" max="14" width="17.88671875" style="17" customWidth="1"/>
    <col min="15" max="16" width="16.109375" hidden="1" customWidth="1"/>
    <col min="17" max="17" width="16.109375" style="14" hidden="1" customWidth="1"/>
    <col min="18" max="19" width="16.109375" hidden="1" customWidth="1"/>
    <col min="20" max="20" width="15.5546875" hidden="1" customWidth="1"/>
    <col min="21" max="21" width="15" customWidth="1"/>
    <col min="22" max="22" width="17.6640625" customWidth="1"/>
    <col min="23" max="23" width="12.44140625" hidden="1" customWidth="1"/>
    <col min="24" max="25" width="16.33203125" hidden="1" customWidth="1"/>
    <col min="26" max="26" width="16" hidden="1" customWidth="1"/>
    <col min="27" max="27" width="14.5546875" hidden="1" customWidth="1"/>
    <col min="28" max="28" width="15.33203125" hidden="1" customWidth="1"/>
    <col min="29" max="29" width="10.109375" hidden="1" customWidth="1"/>
    <col min="30" max="30" width="18.109375" customWidth="1"/>
    <col min="31" max="31" width="16.88671875" bestFit="1" customWidth="1"/>
    <col min="32" max="32" width="9.44140625" style="15"/>
    <col min="33" max="45" width="17.44140625" customWidth="1"/>
    <col min="46" max="46" width="39.33203125" customWidth="1"/>
  </cols>
  <sheetData>
    <row r="1" spans="1:46" s="42" customFormat="1" ht="20.25" customHeight="1" thickBot="1" x14ac:dyDescent="0.35">
      <c r="C1" s="40"/>
      <c r="E1" s="79"/>
      <c r="F1" s="80"/>
      <c r="N1" s="50">
        <f t="shared" ref="N1:AE1" si="0">N16</f>
        <v>70932222</v>
      </c>
      <c r="O1" s="50">
        <f t="shared" si="0"/>
        <v>0</v>
      </c>
      <c r="P1" s="50">
        <f t="shared" si="0"/>
        <v>401607</v>
      </c>
      <c r="Q1" s="50">
        <f t="shared" si="0"/>
        <v>169817</v>
      </c>
      <c r="R1" s="50">
        <f t="shared" si="0"/>
        <v>7733119</v>
      </c>
      <c r="S1" s="50">
        <f t="shared" si="0"/>
        <v>200000</v>
      </c>
      <c r="T1" s="50">
        <f t="shared" si="0"/>
        <v>0</v>
      </c>
      <c r="U1" s="50">
        <f t="shared" si="0"/>
        <v>8504543</v>
      </c>
      <c r="V1" s="50">
        <f t="shared" si="0"/>
        <v>62427679</v>
      </c>
      <c r="W1" s="50">
        <f t="shared" si="0"/>
        <v>0</v>
      </c>
      <c r="X1" s="50">
        <f t="shared" si="0"/>
        <v>422.52</v>
      </c>
      <c r="Y1" s="50">
        <f t="shared" si="0"/>
        <v>1606265.1499999997</v>
      </c>
      <c r="Z1" s="50">
        <f t="shared" si="0"/>
        <v>10157766.32</v>
      </c>
      <c r="AA1" s="50">
        <f t="shared" si="0"/>
        <v>15295110.85</v>
      </c>
      <c r="AB1" s="50">
        <f t="shared" si="0"/>
        <v>13802541.24</v>
      </c>
      <c r="AC1" s="50">
        <f t="shared" si="0"/>
        <v>0</v>
      </c>
      <c r="AD1" s="50">
        <f t="shared" si="0"/>
        <v>40862106.079999998</v>
      </c>
      <c r="AE1" s="50">
        <f t="shared" si="0"/>
        <v>21565572.920000002</v>
      </c>
      <c r="AF1" s="5"/>
      <c r="AQ1" s="50">
        <f>AQ16</f>
        <v>21565572.920000002</v>
      </c>
    </row>
    <row r="2" spans="1:46" s="1" customFormat="1" ht="18.600000000000001" thickBot="1" x14ac:dyDescent="0.3">
      <c r="C2" s="40"/>
      <c r="E2" s="2"/>
      <c r="F2" s="41"/>
      <c r="K2" s="3" t="e">
        <f>#REF!</f>
        <v>#REF!</v>
      </c>
      <c r="L2" s="3" t="e">
        <f>#REF!</f>
        <v>#REF!</v>
      </c>
      <c r="M2" s="3" t="e">
        <f>#REF!</f>
        <v>#REF!</v>
      </c>
      <c r="N2" s="4"/>
      <c r="O2" s="3"/>
      <c r="P2" s="3"/>
      <c r="Q2" s="3"/>
      <c r="R2" s="3"/>
      <c r="S2" s="3"/>
      <c r="T2" s="3"/>
      <c r="U2" s="3"/>
      <c r="V2" s="3"/>
      <c r="W2" s="3">
        <f t="shared" ref="W2:AC2" si="1">SUM(W4:W15)</f>
        <v>0</v>
      </c>
      <c r="X2" s="3">
        <f t="shared" si="1"/>
        <v>422.52</v>
      </c>
      <c r="Y2" s="3">
        <f t="shared" si="1"/>
        <v>1606265.1499999997</v>
      </c>
      <c r="Z2" s="3">
        <f t="shared" si="1"/>
        <v>10157766.32</v>
      </c>
      <c r="AA2" s="3">
        <f t="shared" si="1"/>
        <v>15295110.85</v>
      </c>
      <c r="AB2" s="3">
        <f t="shared" si="1"/>
        <v>13802541.24</v>
      </c>
      <c r="AC2" s="3">
        <f t="shared" si="1"/>
        <v>0</v>
      </c>
      <c r="AD2" s="129" t="s">
        <v>21</v>
      </c>
      <c r="AE2" s="130"/>
      <c r="AF2" s="5"/>
      <c r="AG2" s="131" t="s">
        <v>22</v>
      </c>
      <c r="AH2" s="132"/>
      <c r="AI2" s="132"/>
      <c r="AJ2" s="132"/>
      <c r="AK2" s="132"/>
      <c r="AL2" s="132"/>
      <c r="AM2" s="132"/>
      <c r="AN2" s="132"/>
      <c r="AO2" s="132"/>
      <c r="AP2" s="132"/>
      <c r="AQ2" s="132"/>
      <c r="AR2" s="133"/>
      <c r="AS2" s="48"/>
      <c r="AT2" s="49"/>
    </row>
    <row r="3" spans="1:46" ht="83.4" thickBot="1" x14ac:dyDescent="0.35">
      <c r="A3" s="85" t="s">
        <v>23</v>
      </c>
      <c r="B3" s="86" t="s">
        <v>24</v>
      </c>
      <c r="C3" s="87" t="s">
        <v>25</v>
      </c>
      <c r="D3" s="88" t="s">
        <v>26</v>
      </c>
      <c r="E3" s="89" t="s">
        <v>27</v>
      </c>
      <c r="F3" s="90" t="s">
        <v>28</v>
      </c>
      <c r="G3" s="91" t="s">
        <v>29</v>
      </c>
      <c r="H3" s="91" t="s">
        <v>30</v>
      </c>
      <c r="I3" s="91" t="s">
        <v>31</v>
      </c>
      <c r="J3" s="91" t="s">
        <v>32</v>
      </c>
      <c r="K3" s="18" t="s">
        <v>33</v>
      </c>
      <c r="L3" s="92" t="s">
        <v>34</v>
      </c>
      <c r="M3" s="18" t="s">
        <v>35</v>
      </c>
      <c r="N3" s="18" t="s">
        <v>36</v>
      </c>
      <c r="O3" s="93" t="s">
        <v>37</v>
      </c>
      <c r="P3" s="93" t="s">
        <v>38</v>
      </c>
      <c r="Q3" s="93" t="s">
        <v>39</v>
      </c>
      <c r="R3" s="93" t="s">
        <v>40</v>
      </c>
      <c r="S3" s="93" t="s">
        <v>41</v>
      </c>
      <c r="T3" s="93" t="s">
        <v>42</v>
      </c>
      <c r="U3" s="93" t="s">
        <v>43</v>
      </c>
      <c r="V3" s="94" t="s">
        <v>44</v>
      </c>
      <c r="W3" s="95" t="s">
        <v>45</v>
      </c>
      <c r="X3" s="95" t="s">
        <v>46</v>
      </c>
      <c r="Y3" s="96" t="s">
        <v>47</v>
      </c>
      <c r="Z3" s="96" t="s">
        <v>48</v>
      </c>
      <c r="AA3" s="96" t="s">
        <v>49</v>
      </c>
      <c r="AB3" s="95" t="s">
        <v>50</v>
      </c>
      <c r="AC3" s="95" t="s">
        <v>51</v>
      </c>
      <c r="AD3" s="97" t="s">
        <v>52</v>
      </c>
      <c r="AE3" s="98" t="s">
        <v>53</v>
      </c>
      <c r="AF3" s="99" t="s">
        <v>54</v>
      </c>
      <c r="AG3" s="100" t="s">
        <v>55</v>
      </c>
      <c r="AH3" s="101">
        <v>46158</v>
      </c>
      <c r="AI3" s="101">
        <f t="shared" ref="AI3:AO3" si="2">AH3+30</f>
        <v>46188</v>
      </c>
      <c r="AJ3" s="101">
        <f t="shared" si="2"/>
        <v>46218</v>
      </c>
      <c r="AK3" s="101">
        <f t="shared" si="2"/>
        <v>46248</v>
      </c>
      <c r="AL3" s="101">
        <f t="shared" si="2"/>
        <v>46278</v>
      </c>
      <c r="AM3" s="101">
        <f t="shared" si="2"/>
        <v>46308</v>
      </c>
      <c r="AN3" s="101">
        <f t="shared" si="2"/>
        <v>46338</v>
      </c>
      <c r="AO3" s="101">
        <f t="shared" si="2"/>
        <v>46368</v>
      </c>
      <c r="AP3" s="100" t="s">
        <v>56</v>
      </c>
      <c r="AQ3" s="100" t="s">
        <v>57</v>
      </c>
      <c r="AR3" s="100" t="s">
        <v>58</v>
      </c>
      <c r="AS3" s="102" t="s">
        <v>59</v>
      </c>
      <c r="AT3" s="103" t="s">
        <v>60</v>
      </c>
    </row>
    <row r="4" spans="1:46" ht="28.8" x14ac:dyDescent="0.3">
      <c r="A4" s="43" t="s">
        <v>134</v>
      </c>
      <c r="B4" s="43" t="s">
        <v>135</v>
      </c>
      <c r="C4" s="54" t="s">
        <v>136</v>
      </c>
      <c r="D4" s="6" t="s">
        <v>137</v>
      </c>
      <c r="E4" s="6" t="s">
        <v>65</v>
      </c>
      <c r="F4" s="44" t="s">
        <v>138</v>
      </c>
      <c r="G4" s="7">
        <v>44658</v>
      </c>
      <c r="H4" s="7">
        <v>46387</v>
      </c>
      <c r="I4" s="12">
        <v>3646</v>
      </c>
      <c r="J4" s="9">
        <v>48</v>
      </c>
      <c r="K4" s="11">
        <v>916718</v>
      </c>
      <c r="L4" s="10"/>
      <c r="M4" s="10"/>
      <c r="N4" s="10">
        <f t="shared" ref="N4:N15" si="3">SUM(K4:M4)</f>
        <v>916718</v>
      </c>
      <c r="O4" s="10"/>
      <c r="P4" s="10"/>
      <c r="Q4" s="10"/>
      <c r="R4" s="10"/>
      <c r="S4" s="10"/>
      <c r="T4" s="10"/>
      <c r="U4" s="10">
        <f t="shared" ref="U4:U15" si="4">SUM(O4:T4)</f>
        <v>0</v>
      </c>
      <c r="V4" s="11">
        <f t="shared" ref="V4:V15" si="5">K4-U4+L4+M4</f>
        <v>916718</v>
      </c>
      <c r="W4" s="10"/>
      <c r="X4" s="10">
        <v>422.52</v>
      </c>
      <c r="Y4" s="10">
        <v>71653.310000000012</v>
      </c>
      <c r="Z4" s="10">
        <v>139935.26999999999</v>
      </c>
      <c r="AA4" s="10">
        <v>244571.99000000002</v>
      </c>
      <c r="AB4" s="10">
        <v>21792.06</v>
      </c>
      <c r="AC4" s="10"/>
      <c r="AD4" s="10">
        <f t="shared" ref="AD4:AD10" si="6">SUM(W4:AC4)</f>
        <v>478375.15</v>
      </c>
      <c r="AE4" s="10">
        <f t="shared" ref="AE4:AE15" si="7">V4-AD4</f>
        <v>438342.85</v>
      </c>
      <c r="AF4" s="45">
        <f t="shared" ref="AF4:AF9" si="8">AD4/V4</f>
        <v>0.52183457726367322</v>
      </c>
      <c r="AG4" s="106"/>
      <c r="AH4" s="119">
        <v>54792.86</v>
      </c>
      <c r="AI4" s="120">
        <v>54792.86</v>
      </c>
      <c r="AJ4" s="120">
        <v>54792.86</v>
      </c>
      <c r="AK4" s="120">
        <v>54792.86</v>
      </c>
      <c r="AL4" s="120">
        <v>54792.86</v>
      </c>
      <c r="AM4" s="120">
        <v>54792.86</v>
      </c>
      <c r="AN4" s="120">
        <v>54792.86</v>
      </c>
      <c r="AO4" s="120">
        <v>54792.83</v>
      </c>
      <c r="AP4" s="106"/>
      <c r="AQ4" s="105">
        <f t="shared" ref="AQ4:AQ15" si="9">SUM(AG4:AP4)</f>
        <v>438342.85</v>
      </c>
      <c r="AR4" s="105">
        <f t="shared" ref="AR4:AR15" si="10">AQ4-AE4</f>
        <v>0</v>
      </c>
      <c r="AS4" s="104" t="s">
        <v>169</v>
      </c>
      <c r="AT4" s="124" t="s">
        <v>139</v>
      </c>
    </row>
    <row r="5" spans="1:46" ht="37.799999999999997" x14ac:dyDescent="0.3">
      <c r="A5" s="43" t="s">
        <v>134</v>
      </c>
      <c r="B5" s="43" t="s">
        <v>135</v>
      </c>
      <c r="C5" s="56" t="s">
        <v>140</v>
      </c>
      <c r="D5" s="6" t="s">
        <v>137</v>
      </c>
      <c r="E5" s="6" t="s">
        <v>65</v>
      </c>
      <c r="F5" s="44" t="s">
        <v>141</v>
      </c>
      <c r="G5" s="7">
        <v>44791</v>
      </c>
      <c r="H5" s="7">
        <v>46387</v>
      </c>
      <c r="I5" s="12">
        <v>3646</v>
      </c>
      <c r="J5" s="9">
        <v>49</v>
      </c>
      <c r="K5" s="11">
        <v>5072061</v>
      </c>
      <c r="L5" s="10"/>
      <c r="M5" s="10"/>
      <c r="N5" s="10">
        <f t="shared" si="3"/>
        <v>5072061</v>
      </c>
      <c r="O5" s="10"/>
      <c r="P5" s="10"/>
      <c r="Q5" s="10"/>
      <c r="R5" s="10"/>
      <c r="S5" s="10"/>
      <c r="T5" s="10"/>
      <c r="U5" s="10">
        <f t="shared" si="4"/>
        <v>0</v>
      </c>
      <c r="V5" s="11">
        <f t="shared" si="5"/>
        <v>5072061</v>
      </c>
      <c r="W5" s="10"/>
      <c r="X5" s="10"/>
      <c r="Y5" s="10">
        <v>155077.79999999999</v>
      </c>
      <c r="Z5" s="10">
        <v>1178187.53</v>
      </c>
      <c r="AA5" s="10">
        <v>1203299.4099999999</v>
      </c>
      <c r="AB5" s="10">
        <v>975949.58000000007</v>
      </c>
      <c r="AC5" s="10"/>
      <c r="AD5" s="10">
        <f t="shared" si="6"/>
        <v>3512514.3200000003</v>
      </c>
      <c r="AE5" s="10">
        <f t="shared" si="7"/>
        <v>1559546.6799999997</v>
      </c>
      <c r="AF5" s="45">
        <f t="shared" si="8"/>
        <v>0.69252209703313905</v>
      </c>
      <c r="AG5" s="106"/>
      <c r="AH5" s="122">
        <v>194943.34</v>
      </c>
      <c r="AI5" s="123">
        <v>194943.34</v>
      </c>
      <c r="AJ5" s="123">
        <v>194943.34</v>
      </c>
      <c r="AK5" s="123">
        <v>194943.34</v>
      </c>
      <c r="AL5" s="123">
        <v>194943.34</v>
      </c>
      <c r="AM5" s="123">
        <v>194943.34</v>
      </c>
      <c r="AN5" s="123">
        <v>194943.34</v>
      </c>
      <c r="AO5" s="123">
        <v>194943.3</v>
      </c>
      <c r="AP5" s="106"/>
      <c r="AQ5" s="105">
        <f t="shared" si="9"/>
        <v>1559546.6800000002</v>
      </c>
      <c r="AR5" s="105">
        <f t="shared" si="10"/>
        <v>0</v>
      </c>
      <c r="AS5" s="104" t="s">
        <v>169</v>
      </c>
      <c r="AT5" s="125" t="s">
        <v>139</v>
      </c>
    </row>
    <row r="6" spans="1:46" ht="72" x14ac:dyDescent="0.3">
      <c r="A6" s="43" t="s">
        <v>134</v>
      </c>
      <c r="B6" s="43" t="s">
        <v>135</v>
      </c>
      <c r="C6" s="56" t="s">
        <v>142</v>
      </c>
      <c r="D6" s="6" t="s">
        <v>143</v>
      </c>
      <c r="E6" s="6" t="s">
        <v>65</v>
      </c>
      <c r="F6" s="44" t="s">
        <v>144</v>
      </c>
      <c r="G6" s="7">
        <v>44791</v>
      </c>
      <c r="H6" s="7">
        <v>46203</v>
      </c>
      <c r="I6" s="12">
        <v>3145</v>
      </c>
      <c r="J6" s="9">
        <v>44</v>
      </c>
      <c r="K6" s="11">
        <v>4198804</v>
      </c>
      <c r="L6" s="10"/>
      <c r="M6" s="10"/>
      <c r="N6" s="10">
        <f t="shared" si="3"/>
        <v>4198804</v>
      </c>
      <c r="O6" s="10"/>
      <c r="P6" s="10"/>
      <c r="Q6" s="10"/>
      <c r="R6" s="10"/>
      <c r="S6" s="10"/>
      <c r="T6" s="10"/>
      <c r="U6" s="10">
        <f t="shared" si="4"/>
        <v>0</v>
      </c>
      <c r="V6" s="11">
        <f t="shared" si="5"/>
        <v>4198804</v>
      </c>
      <c r="W6" s="10"/>
      <c r="X6" s="10"/>
      <c r="Y6" s="10"/>
      <c r="Z6" s="10">
        <v>769154.54</v>
      </c>
      <c r="AA6" s="10">
        <v>106694</v>
      </c>
      <c r="AB6" s="10">
        <v>2160818.5</v>
      </c>
      <c r="AC6" s="10"/>
      <c r="AD6" s="10">
        <f t="shared" si="6"/>
        <v>3036667.04</v>
      </c>
      <c r="AE6" s="10">
        <f t="shared" si="7"/>
        <v>1162136.96</v>
      </c>
      <c r="AF6" s="45">
        <f t="shared" si="8"/>
        <v>0.72322190795283614</v>
      </c>
      <c r="AG6" s="106"/>
      <c r="AH6" s="106">
        <v>185919</v>
      </c>
      <c r="AI6" s="106">
        <v>325406</v>
      </c>
      <c r="AJ6" s="106">
        <v>325406</v>
      </c>
      <c r="AK6" s="106">
        <v>325405.96000000002</v>
      </c>
      <c r="AL6" s="107"/>
      <c r="AM6" s="107"/>
      <c r="AN6" s="107"/>
      <c r="AO6" s="107"/>
      <c r="AP6" s="107"/>
      <c r="AQ6" s="105">
        <f t="shared" si="9"/>
        <v>1162136.96</v>
      </c>
      <c r="AR6" s="105">
        <f t="shared" si="10"/>
        <v>0</v>
      </c>
      <c r="AS6" s="104" t="s">
        <v>169</v>
      </c>
      <c r="AT6" s="116" t="s">
        <v>191</v>
      </c>
    </row>
    <row r="7" spans="1:46" ht="115.2" x14ac:dyDescent="0.3">
      <c r="A7" s="43" t="s">
        <v>134</v>
      </c>
      <c r="B7" s="43" t="s">
        <v>135</v>
      </c>
      <c r="C7" s="55" t="s">
        <v>145</v>
      </c>
      <c r="D7" s="6" t="s">
        <v>143</v>
      </c>
      <c r="E7" s="6" t="s">
        <v>65</v>
      </c>
      <c r="F7" s="44" t="s">
        <v>146</v>
      </c>
      <c r="G7" s="7">
        <v>44957</v>
      </c>
      <c r="H7" s="7">
        <v>46203</v>
      </c>
      <c r="I7" s="12">
        <v>3145</v>
      </c>
      <c r="J7" s="9">
        <v>52</v>
      </c>
      <c r="K7" s="11">
        <v>5000000</v>
      </c>
      <c r="L7" s="10"/>
      <c r="M7" s="10"/>
      <c r="N7" s="10">
        <f t="shared" si="3"/>
        <v>5000000</v>
      </c>
      <c r="O7" s="10"/>
      <c r="P7" s="10"/>
      <c r="Q7" s="10"/>
      <c r="R7" s="10"/>
      <c r="S7" s="10"/>
      <c r="T7" s="10"/>
      <c r="U7" s="10">
        <f t="shared" si="4"/>
        <v>0</v>
      </c>
      <c r="V7" s="11">
        <f t="shared" si="5"/>
        <v>5000000</v>
      </c>
      <c r="W7" s="10"/>
      <c r="X7" s="10"/>
      <c r="Y7" s="10">
        <v>68238.709999999992</v>
      </c>
      <c r="Z7" s="10">
        <v>1386373.2</v>
      </c>
      <c r="AA7" s="10">
        <v>2608138.27</v>
      </c>
      <c r="AB7" s="10">
        <v>426459.48</v>
      </c>
      <c r="AC7" s="10">
        <v>0</v>
      </c>
      <c r="AD7" s="10">
        <f t="shared" si="6"/>
        <v>4489209.66</v>
      </c>
      <c r="AE7" s="10">
        <f t="shared" si="7"/>
        <v>510790.33999999985</v>
      </c>
      <c r="AF7" s="45">
        <f t="shared" si="8"/>
        <v>0.89784193200000006</v>
      </c>
      <c r="AG7" s="106"/>
      <c r="AH7" s="106">
        <v>0</v>
      </c>
      <c r="AI7" s="106">
        <f>170265+170265+170260.34</f>
        <v>510790.33999999997</v>
      </c>
      <c r="AJ7" s="107"/>
      <c r="AK7" s="107"/>
      <c r="AL7" s="107"/>
      <c r="AM7" s="107"/>
      <c r="AN7" s="107"/>
      <c r="AO7" s="107"/>
      <c r="AP7" s="107"/>
      <c r="AQ7" s="105">
        <f t="shared" si="9"/>
        <v>510790.33999999997</v>
      </c>
      <c r="AR7" s="105">
        <f t="shared" si="10"/>
        <v>0</v>
      </c>
      <c r="AS7" s="104" t="s">
        <v>169</v>
      </c>
      <c r="AT7" s="116" t="s">
        <v>190</v>
      </c>
    </row>
    <row r="8" spans="1:46" ht="37.799999999999997" x14ac:dyDescent="0.3">
      <c r="A8" s="43" t="s">
        <v>134</v>
      </c>
      <c r="B8" s="43" t="s">
        <v>135</v>
      </c>
      <c r="C8" s="56" t="s">
        <v>147</v>
      </c>
      <c r="D8" s="6" t="s">
        <v>143</v>
      </c>
      <c r="E8" s="6" t="s">
        <v>65</v>
      </c>
      <c r="F8" s="44" t="s">
        <v>148</v>
      </c>
      <c r="G8" s="7">
        <v>44791</v>
      </c>
      <c r="H8" s="7">
        <v>46387</v>
      </c>
      <c r="I8" s="12" t="s">
        <v>149</v>
      </c>
      <c r="J8" s="9">
        <v>42</v>
      </c>
      <c r="K8" s="11">
        <v>977346</v>
      </c>
      <c r="L8" s="10"/>
      <c r="M8" s="10">
        <v>980629</v>
      </c>
      <c r="N8" s="10">
        <f t="shared" si="3"/>
        <v>1957975</v>
      </c>
      <c r="O8" s="10"/>
      <c r="P8" s="10"/>
      <c r="Q8" s="10">
        <v>49755</v>
      </c>
      <c r="R8" s="10"/>
      <c r="S8" s="10"/>
      <c r="T8" s="10"/>
      <c r="U8" s="10">
        <f t="shared" si="4"/>
        <v>49755</v>
      </c>
      <c r="V8" s="11">
        <f t="shared" si="5"/>
        <v>1908220</v>
      </c>
      <c r="W8" s="10"/>
      <c r="X8" s="10"/>
      <c r="Y8" s="10">
        <v>113037.70999999999</v>
      </c>
      <c r="Z8" s="10">
        <v>618345.64</v>
      </c>
      <c r="AA8" s="10">
        <v>719912.25</v>
      </c>
      <c r="AB8" s="10">
        <v>450195.25</v>
      </c>
      <c r="AC8" s="10"/>
      <c r="AD8" s="10">
        <f t="shared" si="6"/>
        <v>1901490.85</v>
      </c>
      <c r="AE8" s="10">
        <f t="shared" si="7"/>
        <v>6729.1499999999069</v>
      </c>
      <c r="AF8" s="45">
        <f t="shared" si="8"/>
        <v>0.99647359843204664</v>
      </c>
      <c r="AG8" s="106"/>
      <c r="AH8" s="106">
        <v>6728.75</v>
      </c>
      <c r="AI8" s="106">
        <v>0</v>
      </c>
      <c r="AJ8" s="106">
        <v>0</v>
      </c>
      <c r="AK8" s="106">
        <v>0</v>
      </c>
      <c r="AL8" s="106">
        <v>0</v>
      </c>
      <c r="AM8" s="106">
        <v>0</v>
      </c>
      <c r="AN8" s="106">
        <v>0</v>
      </c>
      <c r="AO8" s="106">
        <v>0</v>
      </c>
      <c r="AP8" s="106">
        <v>0.4</v>
      </c>
      <c r="AQ8" s="105">
        <f t="shared" si="9"/>
        <v>6729.15</v>
      </c>
      <c r="AR8" s="105">
        <f t="shared" si="10"/>
        <v>9.276845958083868E-11</v>
      </c>
      <c r="AS8" s="104" t="s">
        <v>169</v>
      </c>
      <c r="AT8" s="116" t="s">
        <v>189</v>
      </c>
    </row>
    <row r="9" spans="1:46" ht="115.2" x14ac:dyDescent="0.3">
      <c r="A9" s="43" t="s">
        <v>134</v>
      </c>
      <c r="B9" s="43" t="s">
        <v>135</v>
      </c>
      <c r="C9" s="56" t="s">
        <v>150</v>
      </c>
      <c r="D9" s="6" t="s">
        <v>143</v>
      </c>
      <c r="E9" s="6" t="s">
        <v>65</v>
      </c>
      <c r="F9" s="44" t="s">
        <v>151</v>
      </c>
      <c r="G9" s="7">
        <v>44854</v>
      </c>
      <c r="H9" s="7">
        <v>46387</v>
      </c>
      <c r="I9" s="12" t="s">
        <v>149</v>
      </c>
      <c r="J9" s="9" t="s">
        <v>152</v>
      </c>
      <c r="K9" s="11">
        <f>2431165</f>
        <v>2431165</v>
      </c>
      <c r="L9" s="10">
        <v>91031</v>
      </c>
      <c r="M9" s="10">
        <f>2474401</f>
        <v>2474401</v>
      </c>
      <c r="N9" s="10">
        <f t="shared" si="3"/>
        <v>4996597</v>
      </c>
      <c r="O9" s="13"/>
      <c r="P9" s="13"/>
      <c r="Q9" s="13">
        <f>61165+58897</f>
        <v>120062</v>
      </c>
      <c r="R9" s="10">
        <v>1250000</v>
      </c>
      <c r="S9" s="10"/>
      <c r="T9" s="10"/>
      <c r="U9" s="10">
        <f t="shared" si="4"/>
        <v>1370062</v>
      </c>
      <c r="V9" s="11">
        <f t="shared" si="5"/>
        <v>3626535</v>
      </c>
      <c r="W9" s="10"/>
      <c r="X9" s="10"/>
      <c r="Y9" s="10">
        <v>0</v>
      </c>
      <c r="Z9" s="10">
        <v>825501.65</v>
      </c>
      <c r="AA9" s="10">
        <v>1483975.81</v>
      </c>
      <c r="AB9" s="10">
        <v>470000</v>
      </c>
      <c r="AC9" s="10"/>
      <c r="AD9" s="10">
        <f t="shared" si="6"/>
        <v>2779477.46</v>
      </c>
      <c r="AE9" s="10">
        <f t="shared" si="7"/>
        <v>847057.54</v>
      </c>
      <c r="AF9" s="45">
        <f t="shared" si="8"/>
        <v>0.76642786020264519</v>
      </c>
      <c r="AG9" s="106"/>
      <c r="AH9" s="106"/>
      <c r="AI9" s="106">
        <f>11535+11535+11534</f>
        <v>34604</v>
      </c>
      <c r="AJ9" s="106">
        <v>135000</v>
      </c>
      <c r="AK9" s="106">
        <v>135000</v>
      </c>
      <c r="AL9" s="106">
        <v>135000</v>
      </c>
      <c r="AM9" s="106">
        <v>135000</v>
      </c>
      <c r="AN9" s="106">
        <v>135000</v>
      </c>
      <c r="AO9" s="106">
        <v>137453.54</v>
      </c>
      <c r="AP9" s="106"/>
      <c r="AQ9" s="105">
        <f t="shared" si="9"/>
        <v>847057.54</v>
      </c>
      <c r="AR9" s="105">
        <f t="shared" si="10"/>
        <v>0</v>
      </c>
      <c r="AS9" s="104" t="s">
        <v>192</v>
      </c>
      <c r="AT9" s="116" t="s">
        <v>190</v>
      </c>
    </row>
    <row r="10" spans="1:46" ht="72" x14ac:dyDescent="0.3">
      <c r="A10" s="43" t="s">
        <v>134</v>
      </c>
      <c r="B10" s="43" t="s">
        <v>135</v>
      </c>
      <c r="C10" s="56" t="s">
        <v>153</v>
      </c>
      <c r="D10" s="6" t="s">
        <v>143</v>
      </c>
      <c r="E10" s="6" t="s">
        <v>65</v>
      </c>
      <c r="F10" s="44" t="s">
        <v>154</v>
      </c>
      <c r="G10" s="7">
        <v>44910</v>
      </c>
      <c r="H10" s="7">
        <v>46203</v>
      </c>
      <c r="I10" s="12">
        <v>3145</v>
      </c>
      <c r="J10" s="9">
        <v>68</v>
      </c>
      <c r="K10" s="11">
        <v>7022777</v>
      </c>
      <c r="L10" s="10"/>
      <c r="M10" s="10"/>
      <c r="N10" s="10">
        <f t="shared" si="3"/>
        <v>7022777</v>
      </c>
      <c r="O10" s="13"/>
      <c r="P10" s="13">
        <v>401607</v>
      </c>
      <c r="Q10" s="13"/>
      <c r="R10" s="10"/>
      <c r="S10" s="10"/>
      <c r="T10" s="10"/>
      <c r="U10" s="10">
        <f t="shared" si="4"/>
        <v>401607</v>
      </c>
      <c r="V10" s="11">
        <f t="shared" si="5"/>
        <v>6621170</v>
      </c>
      <c r="W10" s="10"/>
      <c r="X10" s="10"/>
      <c r="Y10" s="10">
        <v>0</v>
      </c>
      <c r="Z10" s="10">
        <v>196177.75</v>
      </c>
      <c r="AA10" s="10">
        <v>644440</v>
      </c>
      <c r="AB10" s="10">
        <v>5758379.3899999997</v>
      </c>
      <c r="AC10" s="10"/>
      <c r="AD10" s="10">
        <f t="shared" si="6"/>
        <v>6598997.1399999997</v>
      </c>
      <c r="AE10" s="10">
        <f t="shared" si="7"/>
        <v>22172.860000000335</v>
      </c>
      <c r="AF10" s="45">
        <v>0.99</v>
      </c>
      <c r="AG10" s="106"/>
      <c r="AH10" s="119">
        <v>2121.71</v>
      </c>
      <c r="AI10" s="120">
        <v>4011.15</v>
      </c>
      <c r="AJ10" s="120">
        <v>4010</v>
      </c>
      <c r="AK10" s="120">
        <v>4010</v>
      </c>
      <c r="AL10" s="120">
        <v>4010</v>
      </c>
      <c r="AM10" s="120">
        <v>4010</v>
      </c>
      <c r="AN10" s="107"/>
      <c r="AO10" s="107"/>
      <c r="AP10" s="107"/>
      <c r="AQ10" s="105">
        <f t="shared" si="9"/>
        <v>22172.86</v>
      </c>
      <c r="AR10" s="105">
        <f t="shared" si="10"/>
        <v>-3.3469405025243759E-10</v>
      </c>
      <c r="AS10" s="104" t="s">
        <v>169</v>
      </c>
      <c r="AT10" s="116" t="s">
        <v>188</v>
      </c>
    </row>
    <row r="11" spans="1:46" ht="43.2" x14ac:dyDescent="0.3">
      <c r="A11" s="43" t="s">
        <v>134</v>
      </c>
      <c r="B11" s="43" t="s">
        <v>135</v>
      </c>
      <c r="C11" s="55" t="s">
        <v>155</v>
      </c>
      <c r="D11" s="6" t="s">
        <v>143</v>
      </c>
      <c r="E11" s="6" t="s">
        <v>65</v>
      </c>
      <c r="F11" s="44" t="s">
        <v>156</v>
      </c>
      <c r="G11" s="7">
        <v>44854</v>
      </c>
      <c r="H11" s="7">
        <v>46295</v>
      </c>
      <c r="I11" s="12">
        <v>3145</v>
      </c>
      <c r="J11" s="9">
        <v>66</v>
      </c>
      <c r="K11" s="11">
        <v>6000000</v>
      </c>
      <c r="L11" s="10"/>
      <c r="M11" s="10"/>
      <c r="N11" s="10">
        <f t="shared" si="3"/>
        <v>6000000</v>
      </c>
      <c r="O11" s="10">
        <v>0</v>
      </c>
      <c r="P11" s="10"/>
      <c r="Q11" s="10"/>
      <c r="R11" s="10"/>
      <c r="S11" s="10"/>
      <c r="T11" s="10"/>
      <c r="U11" s="10">
        <f t="shared" si="4"/>
        <v>0</v>
      </c>
      <c r="V11" s="11">
        <f t="shared" si="5"/>
        <v>6000000</v>
      </c>
      <c r="W11" s="10"/>
      <c r="X11" s="10"/>
      <c r="Y11" s="10">
        <v>1189702.67</v>
      </c>
      <c r="Z11" s="10">
        <v>2364177.0499999998</v>
      </c>
      <c r="AA11" s="10">
        <v>390185.8</v>
      </c>
      <c r="AB11" s="10">
        <v>2031650.4500000002</v>
      </c>
      <c r="AC11" s="10"/>
      <c r="AD11" s="10">
        <f>'[1]409-23NWFEO01'!Q63</f>
        <v>5975715.9699999997</v>
      </c>
      <c r="AE11" s="10">
        <f t="shared" si="7"/>
        <v>24284.030000000261</v>
      </c>
      <c r="AF11" s="45">
        <f t="shared" ref="AF11:AF15" si="11">AD11/V11</f>
        <v>0.99595266166666663</v>
      </c>
      <c r="AG11" s="106"/>
      <c r="AH11" s="106"/>
      <c r="AI11" s="106"/>
      <c r="AJ11" s="106"/>
      <c r="AK11" s="106"/>
      <c r="AL11" s="106">
        <v>24284.03</v>
      </c>
      <c r="AM11" s="107"/>
      <c r="AN11" s="107"/>
      <c r="AO11" s="107"/>
      <c r="AP11" s="107"/>
      <c r="AQ11" s="105">
        <f t="shared" si="9"/>
        <v>24284.03</v>
      </c>
      <c r="AR11" s="105">
        <f t="shared" si="10"/>
        <v>-2.6193447411060333E-10</v>
      </c>
      <c r="AS11" s="104" t="s">
        <v>169</v>
      </c>
      <c r="AT11" s="116" t="s">
        <v>193</v>
      </c>
    </row>
    <row r="12" spans="1:46" ht="115.2" x14ac:dyDescent="0.3">
      <c r="A12" s="43" t="s">
        <v>134</v>
      </c>
      <c r="B12" s="43" t="s">
        <v>135</v>
      </c>
      <c r="C12" s="55" t="s">
        <v>157</v>
      </c>
      <c r="D12" s="6" t="s">
        <v>143</v>
      </c>
      <c r="E12" s="6" t="s">
        <v>65</v>
      </c>
      <c r="F12" s="44" t="s">
        <v>158</v>
      </c>
      <c r="G12" s="7">
        <v>45474</v>
      </c>
      <c r="H12" s="7">
        <v>46446</v>
      </c>
      <c r="I12" s="12">
        <v>3145</v>
      </c>
      <c r="J12" s="12" t="s">
        <v>159</v>
      </c>
      <c r="K12" s="11">
        <v>1014987</v>
      </c>
      <c r="L12" s="10"/>
      <c r="M12" s="10">
        <v>232771</v>
      </c>
      <c r="N12" s="10">
        <f t="shared" si="3"/>
        <v>1247758</v>
      </c>
      <c r="O12" s="70"/>
      <c r="P12" s="10"/>
      <c r="Q12" s="10"/>
      <c r="R12" s="10"/>
      <c r="S12" s="46">
        <v>200000</v>
      </c>
      <c r="T12" s="10"/>
      <c r="U12" s="10">
        <f t="shared" si="4"/>
        <v>200000</v>
      </c>
      <c r="V12" s="11">
        <f t="shared" si="5"/>
        <v>1047758</v>
      </c>
      <c r="W12" s="10"/>
      <c r="X12" s="10"/>
      <c r="Y12" s="10"/>
      <c r="Z12" s="10"/>
      <c r="AA12" s="10">
        <v>938792.53</v>
      </c>
      <c r="AB12" s="10">
        <v>69407.94</v>
      </c>
      <c r="AC12" s="10"/>
      <c r="AD12" s="10">
        <f t="shared" ref="AD12:AD15" si="12">SUM(W12:AC12)</f>
        <v>1008200.47</v>
      </c>
      <c r="AE12" s="10">
        <f t="shared" si="7"/>
        <v>39557.530000000028</v>
      </c>
      <c r="AF12" s="45">
        <f t="shared" si="11"/>
        <v>0.9622455471587904</v>
      </c>
      <c r="AG12" s="106"/>
      <c r="AH12" s="106"/>
      <c r="AI12" s="106">
        <v>10000</v>
      </c>
      <c r="AJ12" s="106">
        <v>10000</v>
      </c>
      <c r="AK12" s="106">
        <v>10000</v>
      </c>
      <c r="AL12" s="106">
        <v>9557.5300000000007</v>
      </c>
      <c r="AM12" s="106"/>
      <c r="AN12" s="106"/>
      <c r="AO12" s="106"/>
      <c r="AP12" s="106"/>
      <c r="AQ12" s="105">
        <f t="shared" si="9"/>
        <v>39557.53</v>
      </c>
      <c r="AR12" s="105">
        <f t="shared" si="10"/>
        <v>0</v>
      </c>
      <c r="AS12" s="104" t="s">
        <v>169</v>
      </c>
      <c r="AT12" s="116" t="s">
        <v>194</v>
      </c>
    </row>
    <row r="13" spans="1:46" ht="28.8" x14ac:dyDescent="0.3">
      <c r="A13" s="43" t="s">
        <v>134</v>
      </c>
      <c r="B13" s="43" t="s">
        <v>135</v>
      </c>
      <c r="C13" s="55" t="s">
        <v>160</v>
      </c>
      <c r="D13" s="6" t="s">
        <v>143</v>
      </c>
      <c r="E13" s="6" t="s">
        <v>65</v>
      </c>
      <c r="F13" s="44" t="s">
        <v>161</v>
      </c>
      <c r="G13" s="7">
        <v>45474</v>
      </c>
      <c r="H13" s="7">
        <v>46446</v>
      </c>
      <c r="I13" s="12">
        <v>3146</v>
      </c>
      <c r="J13" s="12" t="s">
        <v>159</v>
      </c>
      <c r="K13" s="11">
        <v>1499500</v>
      </c>
      <c r="L13" s="10"/>
      <c r="M13" s="10"/>
      <c r="N13" s="10">
        <f t="shared" si="3"/>
        <v>1499500</v>
      </c>
      <c r="O13" s="70"/>
      <c r="P13" s="10"/>
      <c r="Q13" s="10"/>
      <c r="R13" s="10">
        <v>232771</v>
      </c>
      <c r="S13" s="70"/>
      <c r="T13" s="10"/>
      <c r="U13" s="10">
        <f t="shared" si="4"/>
        <v>232771</v>
      </c>
      <c r="V13" s="11">
        <f t="shared" si="5"/>
        <v>1266729</v>
      </c>
      <c r="W13" s="10"/>
      <c r="X13" s="10"/>
      <c r="Y13" s="10"/>
      <c r="Z13" s="10"/>
      <c r="AA13" s="10">
        <v>1041847.1699999999</v>
      </c>
      <c r="AB13" s="10">
        <v>218778.59000000003</v>
      </c>
      <c r="AC13" s="10"/>
      <c r="AD13" s="10">
        <f t="shared" si="12"/>
        <v>1260625.76</v>
      </c>
      <c r="AE13" s="10">
        <f t="shared" si="7"/>
        <v>6103.2399999999907</v>
      </c>
      <c r="AF13" s="45">
        <f t="shared" si="11"/>
        <v>0.995181889733321</v>
      </c>
      <c r="AG13" s="106"/>
      <c r="AH13" s="106"/>
      <c r="AI13" s="106">
        <v>6103.24</v>
      </c>
      <c r="AJ13" s="106"/>
      <c r="AK13" s="106"/>
      <c r="AL13" s="106"/>
      <c r="AM13" s="106"/>
      <c r="AN13" s="106"/>
      <c r="AO13" s="106"/>
      <c r="AP13" s="106"/>
      <c r="AQ13" s="105">
        <f t="shared" si="9"/>
        <v>6103.24</v>
      </c>
      <c r="AR13" s="105">
        <f t="shared" si="10"/>
        <v>9.0949470177292824E-12</v>
      </c>
      <c r="AS13" s="104" t="s">
        <v>169</v>
      </c>
      <c r="AT13" s="116" t="s">
        <v>189</v>
      </c>
    </row>
    <row r="14" spans="1:46" ht="115.2" x14ac:dyDescent="0.3">
      <c r="A14" s="43" t="s">
        <v>134</v>
      </c>
      <c r="B14" s="43" t="s">
        <v>135</v>
      </c>
      <c r="C14" s="56" t="s">
        <v>162</v>
      </c>
      <c r="D14" s="6" t="s">
        <v>143</v>
      </c>
      <c r="E14" s="6" t="s">
        <v>65</v>
      </c>
      <c r="F14" s="44" t="s">
        <v>163</v>
      </c>
      <c r="G14" s="7">
        <v>44855</v>
      </c>
      <c r="H14" s="7">
        <v>46387</v>
      </c>
      <c r="I14" s="12">
        <v>3143</v>
      </c>
      <c r="J14" s="9">
        <v>41</v>
      </c>
      <c r="K14" s="11">
        <v>18370000</v>
      </c>
      <c r="L14" s="10"/>
      <c r="M14" s="10"/>
      <c r="N14" s="10">
        <f t="shared" si="3"/>
        <v>18370000</v>
      </c>
      <c r="O14" s="10"/>
      <c r="P14" s="10"/>
      <c r="Q14" s="10"/>
      <c r="R14" s="10"/>
      <c r="S14" s="10"/>
      <c r="T14" s="10"/>
      <c r="U14" s="10">
        <f t="shared" si="4"/>
        <v>0</v>
      </c>
      <c r="V14" s="11">
        <f t="shared" si="5"/>
        <v>18370000</v>
      </c>
      <c r="W14" s="10"/>
      <c r="X14" s="10"/>
      <c r="Y14" s="10">
        <v>8554.9500000000007</v>
      </c>
      <c r="Z14" s="10">
        <v>134739.35</v>
      </c>
      <c r="AA14" s="10">
        <v>1523983.6199999999</v>
      </c>
      <c r="AB14" s="10">
        <v>85110</v>
      </c>
      <c r="AC14" s="10"/>
      <c r="AD14" s="10">
        <f t="shared" si="12"/>
        <v>1752387.92</v>
      </c>
      <c r="AE14" s="10">
        <f t="shared" si="7"/>
        <v>16617612.08</v>
      </c>
      <c r="AF14" s="45">
        <f t="shared" si="11"/>
        <v>9.5394007621121393E-2</v>
      </c>
      <c r="AG14" s="106"/>
      <c r="AH14" s="106"/>
      <c r="AI14" s="106">
        <f>706178+129410+130037+35475</f>
        <v>1001100</v>
      </c>
      <c r="AJ14" s="106">
        <f>1745971+129410+121568+2496833.08</f>
        <v>4493782.08</v>
      </c>
      <c r="AK14" s="106">
        <f>1745971+129410</f>
        <v>1875381</v>
      </c>
      <c r="AL14" s="106">
        <f t="shared" ref="AL14:AN14" si="13">1745971+129410</f>
        <v>1875381</v>
      </c>
      <c r="AM14" s="106">
        <f t="shared" si="13"/>
        <v>1875381</v>
      </c>
      <c r="AN14" s="106">
        <f t="shared" si="13"/>
        <v>1875381</v>
      </c>
      <c r="AO14" s="106">
        <f>3491796+129410</f>
        <v>3621206</v>
      </c>
      <c r="AP14" s="106"/>
      <c r="AQ14" s="105">
        <f t="shared" si="9"/>
        <v>16617612.08</v>
      </c>
      <c r="AR14" s="105">
        <f t="shared" si="10"/>
        <v>0</v>
      </c>
      <c r="AS14" s="104" t="s">
        <v>169</v>
      </c>
      <c r="AT14" s="116" t="s">
        <v>195</v>
      </c>
    </row>
    <row r="15" spans="1:46" ht="115.2" x14ac:dyDescent="0.3">
      <c r="A15" s="43" t="s">
        <v>134</v>
      </c>
      <c r="B15" s="43" t="s">
        <v>135</v>
      </c>
      <c r="C15" s="56" t="s">
        <v>164</v>
      </c>
      <c r="D15" s="6" t="s">
        <v>143</v>
      </c>
      <c r="E15" s="6" t="s">
        <v>65</v>
      </c>
      <c r="F15" s="44" t="s">
        <v>165</v>
      </c>
      <c r="G15" s="7">
        <v>44791</v>
      </c>
      <c r="H15" s="7">
        <v>46387</v>
      </c>
      <c r="I15" s="12" t="s">
        <v>166</v>
      </c>
      <c r="J15" s="12" t="s">
        <v>167</v>
      </c>
      <c r="K15" s="11">
        <v>7314984</v>
      </c>
      <c r="L15" s="10"/>
      <c r="M15" s="10">
        <f>7335048</f>
        <v>7335048</v>
      </c>
      <c r="N15" s="10">
        <f t="shared" si="3"/>
        <v>14650032</v>
      </c>
      <c r="O15" s="10"/>
      <c r="P15" s="10"/>
      <c r="Q15" s="10"/>
      <c r="R15" s="10">
        <f>348+5000000+1250000</f>
        <v>6250348</v>
      </c>
      <c r="S15" s="10"/>
      <c r="T15" s="10"/>
      <c r="U15" s="10">
        <f t="shared" si="4"/>
        <v>6250348</v>
      </c>
      <c r="V15" s="11">
        <f t="shared" si="5"/>
        <v>8399684</v>
      </c>
      <c r="W15" s="10"/>
      <c r="X15" s="10"/>
      <c r="Y15" s="10"/>
      <c r="Z15" s="10">
        <v>2545174.34</v>
      </c>
      <c r="AA15" s="10">
        <v>4389270</v>
      </c>
      <c r="AB15" s="10">
        <v>1134000</v>
      </c>
      <c r="AC15" s="10"/>
      <c r="AD15" s="10">
        <f t="shared" si="12"/>
        <v>8068444.3399999999</v>
      </c>
      <c r="AE15" s="10">
        <f t="shared" si="7"/>
        <v>331239.66000000015</v>
      </c>
      <c r="AF15" s="45">
        <f t="shared" si="11"/>
        <v>0.96056522364412755</v>
      </c>
      <c r="AG15" s="106"/>
      <c r="AH15" s="106"/>
      <c r="AI15" s="106">
        <f>14867+4867+4871.66</f>
        <v>24605.66</v>
      </c>
      <c r="AJ15" s="106">
        <v>55000</v>
      </c>
      <c r="AK15" s="106">
        <v>55000</v>
      </c>
      <c r="AL15" s="106">
        <v>55000</v>
      </c>
      <c r="AM15" s="106">
        <v>55000</v>
      </c>
      <c r="AN15" s="106">
        <v>55000</v>
      </c>
      <c r="AO15" s="106">
        <v>31634</v>
      </c>
      <c r="AP15" s="106"/>
      <c r="AQ15" s="105">
        <f t="shared" si="9"/>
        <v>331239.66000000003</v>
      </c>
      <c r="AR15" s="105">
        <f t="shared" si="10"/>
        <v>0</v>
      </c>
      <c r="AS15" s="104" t="s">
        <v>169</v>
      </c>
      <c r="AT15" s="116" t="s">
        <v>190</v>
      </c>
    </row>
    <row r="16" spans="1:46" x14ac:dyDescent="0.3">
      <c r="A16" s="73"/>
      <c r="B16" s="73"/>
      <c r="C16" s="74"/>
      <c r="D16" s="73"/>
      <c r="E16" s="75"/>
      <c r="F16" s="76"/>
      <c r="G16" s="73"/>
      <c r="H16" s="73"/>
      <c r="I16" s="73"/>
      <c r="J16" s="73"/>
      <c r="K16" s="73"/>
      <c r="L16" s="73"/>
      <c r="M16" s="73"/>
      <c r="N16" s="78">
        <f t="shared" ref="N16:AE16" si="14">SUM(N4:N15)</f>
        <v>70932222</v>
      </c>
      <c r="O16" s="78">
        <f t="shared" si="14"/>
        <v>0</v>
      </c>
      <c r="P16" s="78">
        <f t="shared" si="14"/>
        <v>401607</v>
      </c>
      <c r="Q16" s="78">
        <f t="shared" si="14"/>
        <v>169817</v>
      </c>
      <c r="R16" s="78">
        <f t="shared" si="14"/>
        <v>7733119</v>
      </c>
      <c r="S16" s="78">
        <f t="shared" si="14"/>
        <v>200000</v>
      </c>
      <c r="T16" s="78">
        <f t="shared" si="14"/>
        <v>0</v>
      </c>
      <c r="U16" s="78">
        <f t="shared" si="14"/>
        <v>8504543</v>
      </c>
      <c r="V16" s="78">
        <f t="shared" si="14"/>
        <v>62427679</v>
      </c>
      <c r="W16" s="78">
        <f t="shared" si="14"/>
        <v>0</v>
      </c>
      <c r="X16" s="78">
        <f t="shared" si="14"/>
        <v>422.52</v>
      </c>
      <c r="Y16" s="78">
        <f t="shared" si="14"/>
        <v>1606265.1499999997</v>
      </c>
      <c r="Z16" s="78">
        <f t="shared" si="14"/>
        <v>10157766.32</v>
      </c>
      <c r="AA16" s="78">
        <f t="shared" si="14"/>
        <v>15295110.85</v>
      </c>
      <c r="AB16" s="78">
        <f t="shared" si="14"/>
        <v>13802541.24</v>
      </c>
      <c r="AC16" s="78">
        <f t="shared" si="14"/>
        <v>0</v>
      </c>
      <c r="AD16" s="78">
        <f t="shared" si="14"/>
        <v>40862106.079999998</v>
      </c>
      <c r="AE16" s="78">
        <f t="shared" si="14"/>
        <v>21565572.920000002</v>
      </c>
      <c r="AF16" s="77"/>
      <c r="AG16" s="78">
        <f t="shared" ref="AG16:AR16" si="15">SUM(AG4:AG15)</f>
        <v>0</v>
      </c>
      <c r="AH16" s="78">
        <f t="shared" si="15"/>
        <v>444505.66000000003</v>
      </c>
      <c r="AI16" s="78">
        <f t="shared" si="15"/>
        <v>2166356.59</v>
      </c>
      <c r="AJ16" s="78">
        <f t="shared" si="15"/>
        <v>5272934.28</v>
      </c>
      <c r="AK16" s="78">
        <f t="shared" si="15"/>
        <v>2654533.16</v>
      </c>
      <c r="AL16" s="78">
        <f t="shared" si="15"/>
        <v>2352968.7599999998</v>
      </c>
      <c r="AM16" s="78">
        <f t="shared" si="15"/>
        <v>2319127.2000000002</v>
      </c>
      <c r="AN16" s="78">
        <f t="shared" si="15"/>
        <v>2315117.2000000002</v>
      </c>
      <c r="AO16" s="78">
        <f t="shared" si="15"/>
        <v>4040029.67</v>
      </c>
      <c r="AP16" s="78">
        <f t="shared" si="15"/>
        <v>0.4</v>
      </c>
      <c r="AQ16" s="78">
        <f t="shared" si="15"/>
        <v>21565572.920000002</v>
      </c>
      <c r="AR16" s="108">
        <f t="shared" si="15"/>
        <v>-4.9476511776447296E-10</v>
      </c>
      <c r="AS16" s="73"/>
      <c r="AT16" s="73"/>
    </row>
    <row r="18" spans="31:43" x14ac:dyDescent="0.3">
      <c r="AE18" s="14">
        <f>AE7+AE9+AE15</f>
        <v>1689087.54</v>
      </c>
    </row>
    <row r="19" spans="31:43" x14ac:dyDescent="0.3">
      <c r="AI19" s="127"/>
      <c r="AJ19" s="127"/>
      <c r="AK19" s="127"/>
      <c r="AL19" s="127"/>
      <c r="AM19" s="127"/>
      <c r="AN19" s="127"/>
      <c r="AO19" s="127"/>
      <c r="AP19" s="127"/>
      <c r="AQ19" s="127"/>
    </row>
  </sheetData>
  <autoFilter ref="A3:AT3" xr:uid="{4BB3643D-0697-4FF4-99AD-2B4653CAAC3F}"/>
  <mergeCells count="2">
    <mergeCell ref="AD2:AE2"/>
    <mergeCell ref="AG2:AR2"/>
  </mergeCells>
  <hyperlinks>
    <hyperlink ref="C5" location="'409-22DSWHD01a'!A1" display="22DSWHD01a" xr:uid="{3576006B-5D14-4157-97C2-67E6DCD84550}"/>
    <hyperlink ref="C7" location="'409-23EMGCS02'!A1" display="23EMGCS02" xr:uid="{8D4C285E-B857-48DE-83C6-BD47FC559A4D}"/>
    <hyperlink ref="C11" location="'409-23NWFEO01'!A1" display=" " xr:uid="{DCB5B4C2-7BE4-4219-91ED-C8AD45FFFD1B}"/>
    <hyperlink ref="C15" location="'409-23WINIC01'!A1" display="23WINIC01" xr:uid="{3CAA482F-DE91-4740-9A4C-31E382307C17}"/>
    <hyperlink ref="C14" location="'409-23UNITY01'!A1" display="23UNITY01" xr:uid="{89314246-C712-4C9C-A06D-579B00A10989}"/>
    <hyperlink ref="C10" location="'409-23LVSRC01'!A1" display="23LVSRC01" xr:uid="{ADE704FB-8393-45F0-9106-AB02246F7256}"/>
    <hyperlink ref="C9" location="'409-23IFIHS01'!A1" display="23IFIHS01" xr:uid="{5412DF90-F51C-402E-B3E8-56A57C6FB86F}"/>
    <hyperlink ref="C8" location="'409-23FTFPS01'!Print_Area" display="23FTFPS01" xr:uid="{4EEC064C-6AD9-4C05-895C-021ECC9CEB13}"/>
    <hyperlink ref="C6" location="'409-23CLKCW01'!A1" display="23CLKCW01" xr:uid="{97604FAB-7458-40CC-8158-A912D88CE44B}"/>
    <hyperlink ref="C12" location="'409-23SUPST3145'!A1" display="23SUPST3145" xr:uid="{160B6D85-2DAB-45C1-BFED-AF71EE00DC2E}"/>
    <hyperlink ref="C4" location="'409-22DSWHD01'!A1" display="22DSWHD01" xr:uid="{F869C2CD-684B-4192-BB9A-DBF8AB9599AD}"/>
    <hyperlink ref="C13" location="'409-23SUPST3146'!A1" display="23SUPST3146" xr:uid="{5261678F-CA47-4683-8896-91C8A63738FA}"/>
  </hyperlink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E81B2-4BA3-447A-9E60-3C3246DEB245}">
  <dimension ref="A1:AT19"/>
  <sheetViews>
    <sheetView topLeftCell="A5" workbookViewId="0">
      <selection activeCell="AS8" sqref="AS8"/>
    </sheetView>
  </sheetViews>
  <sheetFormatPr defaultColWidth="9.44140625" defaultRowHeight="14.4" x14ac:dyDescent="0.3"/>
  <cols>
    <col min="1" max="1" width="8.33203125" customWidth="1"/>
    <col min="2" max="2" width="7.6640625" customWidth="1"/>
    <col min="3" max="3" width="15.5546875" style="47" bestFit="1" customWidth="1"/>
    <col min="4" max="4" width="12.6640625" customWidth="1"/>
    <col min="5" max="5" width="15.6640625" style="16" customWidth="1"/>
    <col min="6" max="6" width="31.5546875" style="19" customWidth="1"/>
    <col min="7" max="7" width="11" customWidth="1"/>
    <col min="8" max="8" width="11.109375" customWidth="1"/>
    <col min="9" max="9" width="7.88671875" customWidth="1"/>
    <col min="10" max="10" width="8" customWidth="1"/>
    <col min="11" max="11" width="16.109375" customWidth="1"/>
    <col min="12" max="12" width="16.88671875" customWidth="1"/>
    <col min="13" max="13" width="14.5546875" customWidth="1"/>
    <col min="14" max="14" width="17.88671875" style="17" customWidth="1"/>
    <col min="15" max="16" width="16.109375" customWidth="1"/>
    <col min="17" max="17" width="16.109375" style="14" customWidth="1"/>
    <col min="18" max="19" width="16.109375" customWidth="1"/>
    <col min="20" max="20" width="15.5546875" customWidth="1"/>
    <col min="21" max="21" width="15" customWidth="1"/>
    <col min="22" max="22" width="17.6640625" customWidth="1"/>
    <col min="23" max="23" width="12.44140625" customWidth="1"/>
    <col min="24" max="25" width="16.33203125" customWidth="1"/>
    <col min="26" max="26" width="16" customWidth="1"/>
    <col min="27" max="27" width="14.5546875" customWidth="1"/>
    <col min="28" max="28" width="15.33203125" customWidth="1"/>
    <col min="29" max="29" width="10.109375" customWidth="1"/>
    <col min="30" max="30" width="18.109375" customWidth="1"/>
    <col min="31" max="31" width="16.88671875" customWidth="1"/>
    <col min="32" max="32" width="9.44140625" style="15" customWidth="1"/>
    <col min="33" max="45" width="17.44140625" customWidth="1"/>
    <col min="46" max="46" width="39.33203125" customWidth="1"/>
  </cols>
  <sheetData>
    <row r="1" spans="1:46" s="42" customFormat="1" ht="20.25" customHeight="1" thickBot="1" x14ac:dyDescent="0.35">
      <c r="C1" s="40"/>
      <c r="E1" s="79"/>
      <c r="F1" s="80"/>
      <c r="N1" s="50">
        <f t="shared" ref="N1:AE1" si="0">N19</f>
        <v>95990233.099999994</v>
      </c>
      <c r="O1" s="50">
        <f t="shared" si="0"/>
        <v>660000</v>
      </c>
      <c r="P1" s="50">
        <f t="shared" si="0"/>
        <v>5000000</v>
      </c>
      <c r="Q1" s="50">
        <f t="shared" si="0"/>
        <v>3238068</v>
      </c>
      <c r="R1" s="50">
        <f t="shared" si="0"/>
        <v>2721280</v>
      </c>
      <c r="S1" s="50">
        <f t="shared" si="0"/>
        <v>288337.5</v>
      </c>
      <c r="T1" s="50">
        <f t="shared" si="0"/>
        <v>0</v>
      </c>
      <c r="U1" s="50">
        <f t="shared" si="0"/>
        <v>11907685.5</v>
      </c>
      <c r="V1" s="50">
        <f t="shared" si="0"/>
        <v>84082547.599999994</v>
      </c>
      <c r="W1" s="50">
        <f t="shared" si="0"/>
        <v>0</v>
      </c>
      <c r="X1" s="50">
        <f t="shared" si="0"/>
        <v>0</v>
      </c>
      <c r="Y1" s="50">
        <f t="shared" si="0"/>
        <v>5181390.45</v>
      </c>
      <c r="Z1" s="50">
        <f t="shared" si="0"/>
        <v>8246904.6900000004</v>
      </c>
      <c r="AA1" s="50">
        <f t="shared" si="0"/>
        <v>25480069.169999998</v>
      </c>
      <c r="AB1" s="50">
        <f t="shared" si="0"/>
        <v>26840735.990000002</v>
      </c>
      <c r="AC1" s="50">
        <f t="shared" si="0"/>
        <v>0</v>
      </c>
      <c r="AD1" s="50">
        <f t="shared" si="0"/>
        <v>65749100.300000004</v>
      </c>
      <c r="AE1" s="50">
        <f t="shared" si="0"/>
        <v>18333447.299999997</v>
      </c>
      <c r="AF1" s="5"/>
      <c r="AQ1" s="50">
        <f>AQ19</f>
        <v>17810810.93</v>
      </c>
    </row>
    <row r="2" spans="1:46" s="1" customFormat="1" ht="18.600000000000001" thickBot="1" x14ac:dyDescent="0.3">
      <c r="C2" s="40"/>
      <c r="E2" s="2"/>
      <c r="F2" s="41"/>
      <c r="K2" s="3" t="e">
        <f>#REF!</f>
        <v>#REF!</v>
      </c>
      <c r="L2" s="3" t="e">
        <f>#REF!</f>
        <v>#REF!</v>
      </c>
      <c r="M2" s="3" t="e">
        <f>#REF!</f>
        <v>#REF!</v>
      </c>
      <c r="N2" s="4"/>
      <c r="O2" s="3"/>
      <c r="P2" s="3"/>
      <c r="Q2" s="3"/>
      <c r="R2" s="3"/>
      <c r="S2" s="3"/>
      <c r="T2" s="3"/>
      <c r="U2" s="3"/>
      <c r="V2" s="3"/>
      <c r="W2" s="3">
        <f t="shared" ref="W2:AC2" si="1">SUM(W4:W18)</f>
        <v>0</v>
      </c>
      <c r="X2" s="3">
        <f t="shared" si="1"/>
        <v>0</v>
      </c>
      <c r="Y2" s="3">
        <f t="shared" si="1"/>
        <v>5181390.45</v>
      </c>
      <c r="Z2" s="3">
        <f t="shared" si="1"/>
        <v>8246904.6900000004</v>
      </c>
      <c r="AA2" s="3">
        <f t="shared" si="1"/>
        <v>25480069.169999998</v>
      </c>
      <c r="AB2" s="3">
        <f t="shared" si="1"/>
        <v>26840735.990000002</v>
      </c>
      <c r="AC2" s="3">
        <f t="shared" si="1"/>
        <v>0</v>
      </c>
      <c r="AD2" s="129" t="s">
        <v>21</v>
      </c>
      <c r="AE2" s="130"/>
      <c r="AF2" s="5"/>
      <c r="AG2" s="131" t="s">
        <v>22</v>
      </c>
      <c r="AH2" s="132"/>
      <c r="AI2" s="132"/>
      <c r="AJ2" s="132"/>
      <c r="AK2" s="132"/>
      <c r="AL2" s="132"/>
      <c r="AM2" s="132"/>
      <c r="AN2" s="132"/>
      <c r="AO2" s="132"/>
      <c r="AP2" s="132"/>
      <c r="AQ2" s="132"/>
      <c r="AR2" s="133"/>
      <c r="AS2" s="48"/>
      <c r="AT2" s="49"/>
    </row>
    <row r="3" spans="1:46" ht="83.4" thickBot="1" x14ac:dyDescent="0.35">
      <c r="A3" s="85" t="s">
        <v>23</v>
      </c>
      <c r="B3" s="86" t="s">
        <v>24</v>
      </c>
      <c r="C3" s="87" t="s">
        <v>25</v>
      </c>
      <c r="D3" s="88" t="s">
        <v>26</v>
      </c>
      <c r="E3" s="89" t="s">
        <v>27</v>
      </c>
      <c r="F3" s="90" t="s">
        <v>28</v>
      </c>
      <c r="G3" s="91" t="s">
        <v>29</v>
      </c>
      <c r="H3" s="91" t="s">
        <v>30</v>
      </c>
      <c r="I3" s="91" t="s">
        <v>31</v>
      </c>
      <c r="J3" s="91" t="s">
        <v>32</v>
      </c>
      <c r="K3" s="18" t="s">
        <v>33</v>
      </c>
      <c r="L3" s="92" t="s">
        <v>34</v>
      </c>
      <c r="M3" s="18" t="s">
        <v>35</v>
      </c>
      <c r="N3" s="18" t="s">
        <v>36</v>
      </c>
      <c r="O3" s="93" t="s">
        <v>37</v>
      </c>
      <c r="P3" s="93" t="s">
        <v>38</v>
      </c>
      <c r="Q3" s="93" t="s">
        <v>39</v>
      </c>
      <c r="R3" s="93" t="s">
        <v>40</v>
      </c>
      <c r="S3" s="93" t="s">
        <v>41</v>
      </c>
      <c r="T3" s="93" t="s">
        <v>42</v>
      </c>
      <c r="U3" s="93" t="s">
        <v>43</v>
      </c>
      <c r="V3" s="94" t="s">
        <v>44</v>
      </c>
      <c r="W3" s="95" t="s">
        <v>45</v>
      </c>
      <c r="X3" s="95" t="s">
        <v>46</v>
      </c>
      <c r="Y3" s="96" t="s">
        <v>47</v>
      </c>
      <c r="Z3" s="96" t="s">
        <v>48</v>
      </c>
      <c r="AA3" s="96" t="s">
        <v>49</v>
      </c>
      <c r="AB3" s="95" t="s">
        <v>50</v>
      </c>
      <c r="AC3" s="95" t="s">
        <v>51</v>
      </c>
      <c r="AD3" s="97" t="s">
        <v>52</v>
      </c>
      <c r="AE3" s="98" t="s">
        <v>53</v>
      </c>
      <c r="AF3" s="99" t="s">
        <v>54</v>
      </c>
      <c r="AG3" s="100" t="s">
        <v>55</v>
      </c>
      <c r="AH3" s="101">
        <v>46158</v>
      </c>
      <c r="AI3" s="101">
        <f t="shared" ref="AI3:AO3" si="2">AH3+30</f>
        <v>46188</v>
      </c>
      <c r="AJ3" s="101">
        <f t="shared" si="2"/>
        <v>46218</v>
      </c>
      <c r="AK3" s="101">
        <f t="shared" si="2"/>
        <v>46248</v>
      </c>
      <c r="AL3" s="101">
        <f t="shared" si="2"/>
        <v>46278</v>
      </c>
      <c r="AM3" s="101">
        <f t="shared" si="2"/>
        <v>46308</v>
      </c>
      <c r="AN3" s="101">
        <f t="shared" si="2"/>
        <v>46338</v>
      </c>
      <c r="AO3" s="101">
        <f t="shared" si="2"/>
        <v>46368</v>
      </c>
      <c r="AP3" s="100" t="s">
        <v>56</v>
      </c>
      <c r="AQ3" s="100" t="s">
        <v>57</v>
      </c>
      <c r="AR3" s="100" t="s">
        <v>58</v>
      </c>
      <c r="AS3" s="102" t="s">
        <v>59</v>
      </c>
      <c r="AT3" s="103" t="s">
        <v>60</v>
      </c>
    </row>
    <row r="4" spans="1:46" ht="100.8" x14ac:dyDescent="0.3">
      <c r="A4" s="67" t="s">
        <v>87</v>
      </c>
      <c r="B4" s="43" t="s">
        <v>88</v>
      </c>
      <c r="C4" s="56" t="s">
        <v>89</v>
      </c>
      <c r="D4" s="6" t="s">
        <v>90</v>
      </c>
      <c r="E4" s="6" t="s">
        <v>65</v>
      </c>
      <c r="F4" s="44" t="s">
        <v>91</v>
      </c>
      <c r="G4" s="7">
        <v>44686</v>
      </c>
      <c r="H4" s="7">
        <v>46203</v>
      </c>
      <c r="I4" s="9">
        <v>3223</v>
      </c>
      <c r="J4" s="9">
        <v>19</v>
      </c>
      <c r="K4" s="11">
        <v>477606</v>
      </c>
      <c r="L4" s="10"/>
      <c r="M4" s="10"/>
      <c r="N4" s="10">
        <f t="shared" ref="N4:N18" si="3">SUM(K4:M4)</f>
        <v>477606</v>
      </c>
      <c r="O4" s="10"/>
      <c r="P4" s="10"/>
      <c r="Q4" s="10"/>
      <c r="R4" s="10"/>
      <c r="S4" s="10"/>
      <c r="T4" s="10"/>
      <c r="U4" s="10">
        <f t="shared" ref="U4:U18" si="4">SUM(O4:T4)</f>
        <v>0</v>
      </c>
      <c r="V4" s="11">
        <f t="shared" ref="V4:V18" si="5">K4-U4+L4+M4</f>
        <v>477606</v>
      </c>
      <c r="W4" s="10"/>
      <c r="X4" s="10"/>
      <c r="Y4" s="10">
        <v>326628</v>
      </c>
      <c r="Z4" s="10">
        <v>60282</v>
      </c>
      <c r="AA4" s="10">
        <v>39664.199999999997</v>
      </c>
      <c r="AB4" s="10">
        <v>120</v>
      </c>
      <c r="AC4" s="10"/>
      <c r="AD4" s="10">
        <f t="shared" ref="AD4:AD18" si="6">SUM(W4:AC4)</f>
        <v>426694.2</v>
      </c>
      <c r="AE4" s="10">
        <f t="shared" ref="AE4:AE18" si="7">V4-AD4</f>
        <v>50911.799999999988</v>
      </c>
      <c r="AF4" s="45">
        <f t="shared" ref="AF4:AF18" si="8">AD4/V4</f>
        <v>0.8934020929385309</v>
      </c>
      <c r="AG4" s="109" t="s">
        <v>65</v>
      </c>
      <c r="AH4" s="110">
        <v>810.23</v>
      </c>
      <c r="AI4" s="111">
        <v>5671.57</v>
      </c>
      <c r="AJ4" s="111">
        <v>7082.5</v>
      </c>
      <c r="AK4" s="111">
        <v>7082.5</v>
      </c>
      <c r="AL4" s="111">
        <v>7082.5</v>
      </c>
      <c r="AM4" s="111">
        <v>7082.5</v>
      </c>
      <c r="AN4" s="111">
        <v>8050</v>
      </c>
      <c r="AO4" s="111">
        <v>8050</v>
      </c>
      <c r="AP4" s="111" t="s">
        <v>170</v>
      </c>
      <c r="AQ4" s="105">
        <f t="shared" ref="AQ4:AQ18" si="9">SUM(AG4:AP4)</f>
        <v>50911.8</v>
      </c>
      <c r="AR4" s="105">
        <f t="shared" ref="AR4:AR18" si="10">AQ4-AE4</f>
        <v>0</v>
      </c>
      <c r="AS4" s="109" t="s">
        <v>169</v>
      </c>
      <c r="AT4" s="117" t="s">
        <v>171</v>
      </c>
    </row>
    <row r="5" spans="1:46" ht="86.4" x14ac:dyDescent="0.3">
      <c r="A5" s="67" t="s">
        <v>87</v>
      </c>
      <c r="B5" s="43" t="s">
        <v>88</v>
      </c>
      <c r="C5" s="55" t="s">
        <v>92</v>
      </c>
      <c r="D5" s="6" t="s">
        <v>90</v>
      </c>
      <c r="E5" s="6" t="s">
        <v>65</v>
      </c>
      <c r="F5" s="44" t="s">
        <v>93</v>
      </c>
      <c r="G5" s="7">
        <v>45108</v>
      </c>
      <c r="H5" s="7">
        <v>46477</v>
      </c>
      <c r="I5" s="9">
        <v>3223</v>
      </c>
      <c r="J5" s="12" t="s">
        <v>94</v>
      </c>
      <c r="K5" s="11">
        <f>284159+268286</f>
        <v>552445</v>
      </c>
      <c r="L5" s="10">
        <v>404873</v>
      </c>
      <c r="M5" s="10"/>
      <c r="N5" s="10">
        <f t="shared" si="3"/>
        <v>957318</v>
      </c>
      <c r="O5" s="70"/>
      <c r="P5" s="70"/>
      <c r="Q5" s="10"/>
      <c r="R5" s="10"/>
      <c r="S5" s="10"/>
      <c r="T5" s="10"/>
      <c r="U5" s="10">
        <f t="shared" si="4"/>
        <v>0</v>
      </c>
      <c r="V5" s="11">
        <f t="shared" si="5"/>
        <v>957318</v>
      </c>
      <c r="W5" s="10"/>
      <c r="X5" s="10"/>
      <c r="Y5" s="10"/>
      <c r="Z5" s="10">
        <v>249208.08</v>
      </c>
      <c r="AA5" s="10">
        <v>252955.18</v>
      </c>
      <c r="AB5" s="10">
        <v>207439.22</v>
      </c>
      <c r="AC5" s="10"/>
      <c r="AD5" s="10">
        <f t="shared" si="6"/>
        <v>709602.48</v>
      </c>
      <c r="AE5" s="10">
        <f t="shared" si="7"/>
        <v>247715.52000000002</v>
      </c>
      <c r="AF5" s="45">
        <f t="shared" si="8"/>
        <v>0.74124008950004072</v>
      </c>
      <c r="AG5" s="112" t="s">
        <v>65</v>
      </c>
      <c r="AH5" s="114">
        <v>22000</v>
      </c>
      <c r="AI5" s="114">
        <v>22000</v>
      </c>
      <c r="AJ5" s="114">
        <v>22000</v>
      </c>
      <c r="AK5" s="114">
        <v>22000</v>
      </c>
      <c r="AL5" s="114">
        <v>22000</v>
      </c>
      <c r="AM5" s="114">
        <v>22000</v>
      </c>
      <c r="AN5" s="114">
        <v>22000</v>
      </c>
      <c r="AO5" s="114">
        <v>22000</v>
      </c>
      <c r="AP5" s="114">
        <v>71715.520000000004</v>
      </c>
      <c r="AQ5" s="105">
        <f t="shared" si="9"/>
        <v>247715.52000000002</v>
      </c>
      <c r="AR5" s="105">
        <f t="shared" si="10"/>
        <v>0</v>
      </c>
      <c r="AS5" s="112" t="s">
        <v>169</v>
      </c>
      <c r="AT5" s="118" t="s">
        <v>172</v>
      </c>
    </row>
    <row r="6" spans="1:46" ht="244.8" x14ac:dyDescent="0.3">
      <c r="A6" s="67" t="s">
        <v>87</v>
      </c>
      <c r="B6" s="43" t="s">
        <v>88</v>
      </c>
      <c r="C6" s="56" t="s">
        <v>95</v>
      </c>
      <c r="D6" s="6" t="s">
        <v>90</v>
      </c>
      <c r="E6" s="6" t="s">
        <v>65</v>
      </c>
      <c r="F6" s="44" t="s">
        <v>96</v>
      </c>
      <c r="G6" s="7">
        <v>44854</v>
      </c>
      <c r="H6" s="7">
        <v>46387</v>
      </c>
      <c r="I6" s="12">
        <v>3219</v>
      </c>
      <c r="J6" s="9">
        <v>34</v>
      </c>
      <c r="K6" s="11">
        <v>5000000</v>
      </c>
      <c r="L6" s="10"/>
      <c r="M6" s="10"/>
      <c r="N6" s="10">
        <f t="shared" si="3"/>
        <v>5000000</v>
      </c>
      <c r="O6" s="10"/>
      <c r="P6" s="10"/>
      <c r="Q6" s="10"/>
      <c r="R6" s="10"/>
      <c r="S6" s="10"/>
      <c r="T6" s="10"/>
      <c r="U6" s="10">
        <f t="shared" si="4"/>
        <v>0</v>
      </c>
      <c r="V6" s="11">
        <f t="shared" si="5"/>
        <v>5000000</v>
      </c>
      <c r="W6" s="10"/>
      <c r="X6" s="10"/>
      <c r="Y6" s="10">
        <v>5642.56</v>
      </c>
      <c r="Z6" s="10">
        <v>191705.75</v>
      </c>
      <c r="AA6" s="10">
        <v>1410887.74</v>
      </c>
      <c r="AB6" s="10">
        <v>1292032.1300000001</v>
      </c>
      <c r="AC6" s="10"/>
      <c r="AD6" s="10">
        <f t="shared" si="6"/>
        <v>2900268.18</v>
      </c>
      <c r="AE6" s="10">
        <f t="shared" si="7"/>
        <v>2099731.8199999998</v>
      </c>
      <c r="AF6" s="45">
        <f t="shared" si="8"/>
        <v>0.58005363600000004</v>
      </c>
      <c r="AG6" s="112" t="s">
        <v>65</v>
      </c>
      <c r="AH6" s="114">
        <v>190607.98</v>
      </c>
      <c r="AI6" s="114">
        <v>272731.96999999997</v>
      </c>
      <c r="AJ6" s="114">
        <v>272731.96999999997</v>
      </c>
      <c r="AK6" s="114">
        <v>272731.96999999997</v>
      </c>
      <c r="AL6" s="114">
        <v>272731.96999999997</v>
      </c>
      <c r="AM6" s="114">
        <v>272731.96999999997</v>
      </c>
      <c r="AN6" s="114">
        <v>272731.96999999997</v>
      </c>
      <c r="AO6" s="114">
        <v>272732.02</v>
      </c>
      <c r="AP6" s="113" t="s">
        <v>170</v>
      </c>
      <c r="AQ6" s="105">
        <f t="shared" si="9"/>
        <v>2099731.8199999998</v>
      </c>
      <c r="AR6" s="105">
        <f t="shared" si="10"/>
        <v>0</v>
      </c>
      <c r="AS6" s="112" t="s">
        <v>169</v>
      </c>
      <c r="AT6" s="118" t="s">
        <v>173</v>
      </c>
    </row>
    <row r="7" spans="1:46" ht="115.2" x14ac:dyDescent="0.3">
      <c r="A7" s="43" t="s">
        <v>87</v>
      </c>
      <c r="B7" s="59" t="s">
        <v>88</v>
      </c>
      <c r="C7" s="71" t="s">
        <v>97</v>
      </c>
      <c r="D7" s="61" t="s">
        <v>98</v>
      </c>
      <c r="E7" s="61" t="s">
        <v>65</v>
      </c>
      <c r="F7" s="81" t="s">
        <v>99</v>
      </c>
      <c r="G7" s="82">
        <v>44743</v>
      </c>
      <c r="H7" s="82">
        <v>46203</v>
      </c>
      <c r="I7" s="83">
        <v>3165</v>
      </c>
      <c r="J7" s="84">
        <v>64</v>
      </c>
      <c r="K7" s="64">
        <v>10000000</v>
      </c>
      <c r="L7" s="63"/>
      <c r="M7" s="63"/>
      <c r="N7" s="63">
        <f t="shared" si="3"/>
        <v>10000000</v>
      </c>
      <c r="O7" s="63">
        <v>0</v>
      </c>
      <c r="P7" s="63">
        <v>5000000</v>
      </c>
      <c r="Q7" s="63">
        <v>1900000</v>
      </c>
      <c r="R7" s="63"/>
      <c r="S7" s="63"/>
      <c r="T7" s="63"/>
      <c r="U7" s="63">
        <f t="shared" si="4"/>
        <v>6900000</v>
      </c>
      <c r="V7" s="64">
        <f t="shared" si="5"/>
        <v>3100000</v>
      </c>
      <c r="W7" s="63"/>
      <c r="X7" s="63"/>
      <c r="Y7" s="63">
        <v>57796.219999999994</v>
      </c>
      <c r="Z7" s="63">
        <v>2079879</v>
      </c>
      <c r="AA7" s="63">
        <v>698605.60000000009</v>
      </c>
      <c r="AB7" s="63">
        <v>249285.96</v>
      </c>
      <c r="AC7" s="63"/>
      <c r="AD7" s="63">
        <f t="shared" si="6"/>
        <v>3085566.7800000003</v>
      </c>
      <c r="AE7" s="63">
        <f t="shared" si="7"/>
        <v>14433.219999999739</v>
      </c>
      <c r="AF7" s="45">
        <f t="shared" si="8"/>
        <v>0.9953441225806452</v>
      </c>
      <c r="AG7" s="112" t="s">
        <v>65</v>
      </c>
      <c r="AH7" s="113">
        <v>957.22</v>
      </c>
      <c r="AI7" s="114">
        <v>13476</v>
      </c>
      <c r="AJ7" s="115" t="s">
        <v>170</v>
      </c>
      <c r="AK7" s="115" t="s">
        <v>170</v>
      </c>
      <c r="AL7" s="115" t="s">
        <v>170</v>
      </c>
      <c r="AM7" s="115" t="s">
        <v>170</v>
      </c>
      <c r="AN7" s="115" t="s">
        <v>170</v>
      </c>
      <c r="AO7" s="115" t="s">
        <v>170</v>
      </c>
      <c r="AP7" s="115" t="s">
        <v>170</v>
      </c>
      <c r="AQ7" s="105">
        <f t="shared" si="9"/>
        <v>14433.22</v>
      </c>
      <c r="AR7" s="105">
        <f t="shared" si="10"/>
        <v>2.6011548470705748E-10</v>
      </c>
      <c r="AS7" s="112" t="s">
        <v>169</v>
      </c>
      <c r="AT7" s="118" t="s">
        <v>174</v>
      </c>
    </row>
    <row r="8" spans="1:46" ht="28.8" x14ac:dyDescent="0.3">
      <c r="A8" s="43" t="s">
        <v>87</v>
      </c>
      <c r="B8" s="43" t="s">
        <v>88</v>
      </c>
      <c r="C8" s="56" t="s">
        <v>100</v>
      </c>
      <c r="D8" s="6" t="s">
        <v>90</v>
      </c>
      <c r="E8" s="6" t="s">
        <v>65</v>
      </c>
      <c r="F8" s="44" t="s">
        <v>101</v>
      </c>
      <c r="G8" s="7">
        <v>44854</v>
      </c>
      <c r="H8" s="7">
        <v>46203</v>
      </c>
      <c r="I8" s="12">
        <v>3219</v>
      </c>
      <c r="J8" s="9">
        <v>35</v>
      </c>
      <c r="K8" s="11">
        <v>1500000</v>
      </c>
      <c r="L8" s="10"/>
      <c r="M8" s="10"/>
      <c r="N8" s="10">
        <f t="shared" si="3"/>
        <v>1500000</v>
      </c>
      <c r="O8" s="10"/>
      <c r="P8" s="10"/>
      <c r="Q8" s="10"/>
      <c r="R8" s="10"/>
      <c r="S8" s="10"/>
      <c r="T8" s="10"/>
      <c r="U8" s="10">
        <f t="shared" si="4"/>
        <v>0</v>
      </c>
      <c r="V8" s="11">
        <f t="shared" si="5"/>
        <v>1500000</v>
      </c>
      <c r="W8" s="10"/>
      <c r="X8" s="10"/>
      <c r="Y8" s="10"/>
      <c r="Z8" s="10">
        <v>131435.79</v>
      </c>
      <c r="AA8" s="10">
        <v>943395.25</v>
      </c>
      <c r="AB8" s="10">
        <v>425168.62</v>
      </c>
      <c r="AC8" s="10"/>
      <c r="AD8" s="10">
        <f t="shared" si="6"/>
        <v>1499999.6600000001</v>
      </c>
      <c r="AE8" s="10">
        <f t="shared" si="7"/>
        <v>0.33999999985098839</v>
      </c>
      <c r="AF8" s="45">
        <f t="shared" si="8"/>
        <v>0.99999977333333345</v>
      </c>
      <c r="AG8" s="112" t="s">
        <v>65</v>
      </c>
      <c r="AH8" s="113">
        <v>0</v>
      </c>
      <c r="AI8" s="113">
        <v>0</v>
      </c>
      <c r="AJ8" s="115" t="s">
        <v>170</v>
      </c>
      <c r="AK8" s="115" t="s">
        <v>170</v>
      </c>
      <c r="AL8" s="115" t="s">
        <v>170</v>
      </c>
      <c r="AM8" s="115" t="s">
        <v>170</v>
      </c>
      <c r="AN8" s="115" t="s">
        <v>170</v>
      </c>
      <c r="AO8" s="115" t="s">
        <v>170</v>
      </c>
      <c r="AP8" s="115" t="s">
        <v>170</v>
      </c>
      <c r="AQ8" s="105">
        <f t="shared" si="9"/>
        <v>0</v>
      </c>
      <c r="AR8" s="105">
        <f t="shared" si="10"/>
        <v>-0.33999999985098839</v>
      </c>
      <c r="AS8" s="112" t="s">
        <v>169</v>
      </c>
      <c r="AT8" s="118" t="s">
        <v>175</v>
      </c>
    </row>
    <row r="9" spans="1:46" ht="302.39999999999998" x14ac:dyDescent="0.3">
      <c r="A9" s="43" t="s">
        <v>87</v>
      </c>
      <c r="B9" s="43" t="s">
        <v>102</v>
      </c>
      <c r="C9" s="56" t="s">
        <v>103</v>
      </c>
      <c r="D9" s="6" t="s">
        <v>90</v>
      </c>
      <c r="E9" s="6" t="s">
        <v>65</v>
      </c>
      <c r="F9" s="44" t="s">
        <v>104</v>
      </c>
      <c r="G9" s="7">
        <v>45091</v>
      </c>
      <c r="H9" s="7">
        <v>46387</v>
      </c>
      <c r="I9" s="9">
        <v>3234</v>
      </c>
      <c r="J9" s="9">
        <v>22</v>
      </c>
      <c r="K9" s="11">
        <v>5494300</v>
      </c>
      <c r="L9" s="10"/>
      <c r="M9" s="10"/>
      <c r="N9" s="10">
        <f t="shared" si="3"/>
        <v>5494300</v>
      </c>
      <c r="O9" s="10"/>
      <c r="P9" s="70"/>
      <c r="Q9" s="10"/>
      <c r="R9" s="10"/>
      <c r="S9" s="10"/>
      <c r="T9" s="10"/>
      <c r="U9" s="10">
        <f t="shared" si="4"/>
        <v>0</v>
      </c>
      <c r="V9" s="11">
        <f t="shared" si="5"/>
        <v>5494300</v>
      </c>
      <c r="W9" s="10"/>
      <c r="X9" s="10"/>
      <c r="Y9" s="10"/>
      <c r="Z9" s="10">
        <v>201861.5</v>
      </c>
      <c r="AA9" s="10">
        <v>1819585.17</v>
      </c>
      <c r="AB9" s="10">
        <v>2262469.92</v>
      </c>
      <c r="AC9" s="10"/>
      <c r="AD9" s="10">
        <f t="shared" si="6"/>
        <v>4283916.59</v>
      </c>
      <c r="AE9" s="10">
        <f t="shared" si="7"/>
        <v>1210383.4100000001</v>
      </c>
      <c r="AF9" s="45">
        <f t="shared" si="8"/>
        <v>0.77970198023406068</v>
      </c>
      <c r="AG9" s="112" t="s">
        <v>65</v>
      </c>
      <c r="AH9" s="114">
        <v>147779.79</v>
      </c>
      <c r="AI9" s="114">
        <v>237668.36</v>
      </c>
      <c r="AJ9" s="114">
        <v>147176.06</v>
      </c>
      <c r="AK9" s="114">
        <v>147176.06</v>
      </c>
      <c r="AL9" s="114">
        <v>147176.06</v>
      </c>
      <c r="AM9" s="114">
        <v>127802.36</v>
      </c>
      <c r="AN9" s="114">
        <v>127802.36</v>
      </c>
      <c r="AO9" s="114">
        <v>127802.36</v>
      </c>
      <c r="AP9" s="113" t="s">
        <v>170</v>
      </c>
      <c r="AQ9" s="105">
        <f t="shared" si="9"/>
        <v>1210383.4100000001</v>
      </c>
      <c r="AR9" s="105">
        <f t="shared" si="10"/>
        <v>0</v>
      </c>
      <c r="AS9" s="112" t="s">
        <v>169</v>
      </c>
      <c r="AT9" s="118" t="s">
        <v>176</v>
      </c>
    </row>
    <row r="10" spans="1:46" ht="201.6" x14ac:dyDescent="0.3">
      <c r="A10" s="43" t="s">
        <v>87</v>
      </c>
      <c r="B10" s="43" t="s">
        <v>88</v>
      </c>
      <c r="C10" s="55" t="s">
        <v>105</v>
      </c>
      <c r="D10" s="6" t="s">
        <v>90</v>
      </c>
      <c r="E10" s="6" t="s">
        <v>65</v>
      </c>
      <c r="F10" s="44" t="s">
        <v>106</v>
      </c>
      <c r="G10" s="7">
        <v>45092</v>
      </c>
      <c r="H10" s="7">
        <v>46387</v>
      </c>
      <c r="I10" s="9">
        <v>3234</v>
      </c>
      <c r="J10" s="9">
        <v>21</v>
      </c>
      <c r="K10" s="11">
        <v>666000</v>
      </c>
      <c r="L10" s="10"/>
      <c r="M10" s="10">
        <v>0</v>
      </c>
      <c r="N10" s="10">
        <f t="shared" si="3"/>
        <v>666000</v>
      </c>
      <c r="O10" s="10"/>
      <c r="P10" s="10"/>
      <c r="Q10" s="10"/>
      <c r="R10" s="10"/>
      <c r="S10" s="10"/>
      <c r="T10" s="10"/>
      <c r="U10" s="10">
        <f t="shared" si="4"/>
        <v>0</v>
      </c>
      <c r="V10" s="11">
        <f t="shared" si="5"/>
        <v>666000</v>
      </c>
      <c r="W10" s="10"/>
      <c r="X10" s="10"/>
      <c r="Y10" s="10"/>
      <c r="Z10" s="8">
        <v>4997.96</v>
      </c>
      <c r="AA10" s="8">
        <v>157255.49000000002</v>
      </c>
      <c r="AB10" s="8">
        <v>212652.27999999997</v>
      </c>
      <c r="AC10" s="10"/>
      <c r="AD10" s="10">
        <f t="shared" si="6"/>
        <v>374905.73</v>
      </c>
      <c r="AE10" s="10">
        <f t="shared" si="7"/>
        <v>291094.27</v>
      </c>
      <c r="AF10" s="45">
        <f t="shared" si="8"/>
        <v>0.56292151651651645</v>
      </c>
      <c r="AG10" s="112" t="s">
        <v>65</v>
      </c>
      <c r="AH10" s="114">
        <v>23904.880000000001</v>
      </c>
      <c r="AI10" s="114">
        <v>39841.5</v>
      </c>
      <c r="AJ10" s="114">
        <v>39841.5</v>
      </c>
      <c r="AK10" s="114">
        <v>39841.5</v>
      </c>
      <c r="AL10" s="114">
        <v>39841.5</v>
      </c>
      <c r="AM10" s="114">
        <v>34613.089999999997</v>
      </c>
      <c r="AN10" s="114">
        <v>34613.089999999997</v>
      </c>
      <c r="AO10" s="114">
        <v>38597.21</v>
      </c>
      <c r="AP10" s="113" t="s">
        <v>170</v>
      </c>
      <c r="AQ10" s="105">
        <f t="shared" si="9"/>
        <v>291094.27</v>
      </c>
      <c r="AR10" s="105">
        <f t="shared" si="10"/>
        <v>0</v>
      </c>
      <c r="AS10" s="112" t="s">
        <v>169</v>
      </c>
      <c r="AT10" s="118" t="s">
        <v>177</v>
      </c>
    </row>
    <row r="11" spans="1:46" ht="57.6" x14ac:dyDescent="0.3">
      <c r="A11" s="43" t="s">
        <v>87</v>
      </c>
      <c r="B11" s="43" t="s">
        <v>88</v>
      </c>
      <c r="C11" s="56" t="s">
        <v>107</v>
      </c>
      <c r="D11" s="6" t="s">
        <v>90</v>
      </c>
      <c r="E11" s="6" t="s">
        <v>65</v>
      </c>
      <c r="F11" s="44" t="s">
        <v>108</v>
      </c>
      <c r="G11" s="7">
        <v>44791</v>
      </c>
      <c r="H11" s="7">
        <v>46142</v>
      </c>
      <c r="I11" s="9">
        <v>3645</v>
      </c>
      <c r="J11" s="9">
        <v>61</v>
      </c>
      <c r="K11" s="11">
        <v>1462644</v>
      </c>
      <c r="L11" s="10"/>
      <c r="M11" s="10"/>
      <c r="N11" s="10">
        <f t="shared" si="3"/>
        <v>1462644</v>
      </c>
      <c r="O11" s="10"/>
      <c r="P11" s="10"/>
      <c r="Q11" s="10"/>
      <c r="R11" s="10"/>
      <c r="S11" s="10">
        <v>288337.5</v>
      </c>
      <c r="T11" s="10"/>
      <c r="U11" s="10">
        <f t="shared" si="4"/>
        <v>288337.5</v>
      </c>
      <c r="V11" s="11">
        <f t="shared" si="5"/>
        <v>1174306.5</v>
      </c>
      <c r="W11" s="10"/>
      <c r="X11" s="10"/>
      <c r="Y11" s="10">
        <v>24377.24</v>
      </c>
      <c r="Z11" s="10">
        <v>103040.12999999999</v>
      </c>
      <c r="AA11" s="10">
        <v>888600.13</v>
      </c>
      <c r="AB11" s="10">
        <v>115031.97</v>
      </c>
      <c r="AC11" s="10"/>
      <c r="AD11" s="10">
        <f t="shared" si="6"/>
        <v>1131049.47</v>
      </c>
      <c r="AE11" s="10">
        <f t="shared" si="7"/>
        <v>43257.030000000028</v>
      </c>
      <c r="AF11" s="45">
        <f t="shared" si="8"/>
        <v>0.96316376516693036</v>
      </c>
      <c r="AG11" s="112" t="s">
        <v>65</v>
      </c>
      <c r="AH11" s="115" t="s">
        <v>170</v>
      </c>
      <c r="AI11" s="115" t="s">
        <v>170</v>
      </c>
      <c r="AJ11" s="115" t="s">
        <v>170</v>
      </c>
      <c r="AK11" s="115" t="s">
        <v>170</v>
      </c>
      <c r="AL11" s="115" t="s">
        <v>170</v>
      </c>
      <c r="AM11" s="115" t="s">
        <v>170</v>
      </c>
      <c r="AN11" s="115" t="s">
        <v>170</v>
      </c>
      <c r="AO11" s="115" t="s">
        <v>170</v>
      </c>
      <c r="AP11" s="115" t="s">
        <v>170</v>
      </c>
      <c r="AQ11" s="105">
        <f t="shared" si="9"/>
        <v>0</v>
      </c>
      <c r="AR11" s="105">
        <f t="shared" si="10"/>
        <v>-43257.030000000028</v>
      </c>
      <c r="AS11" s="112" t="s">
        <v>178</v>
      </c>
      <c r="AT11" s="118" t="s">
        <v>179</v>
      </c>
    </row>
    <row r="12" spans="1:46" ht="144" x14ac:dyDescent="0.3">
      <c r="A12" s="43" t="s">
        <v>87</v>
      </c>
      <c r="B12" s="43" t="s">
        <v>88</v>
      </c>
      <c r="C12" s="55" t="s">
        <v>109</v>
      </c>
      <c r="D12" s="6" t="s">
        <v>90</v>
      </c>
      <c r="E12" s="6" t="s">
        <v>65</v>
      </c>
      <c r="F12" s="44" t="s">
        <v>110</v>
      </c>
      <c r="G12" s="7">
        <v>44790</v>
      </c>
      <c r="H12" s="7">
        <v>46387</v>
      </c>
      <c r="I12" s="12">
        <v>3234</v>
      </c>
      <c r="J12" s="9">
        <v>23</v>
      </c>
      <c r="K12" s="11">
        <f>10000000+3700000+1600000+5500000</f>
        <v>20800000</v>
      </c>
      <c r="L12" s="10"/>
      <c r="M12" s="10"/>
      <c r="N12" s="10">
        <f t="shared" si="3"/>
        <v>20800000</v>
      </c>
      <c r="O12" s="10"/>
      <c r="P12" s="10"/>
      <c r="Q12" s="10"/>
      <c r="R12" s="10"/>
      <c r="S12" s="10"/>
      <c r="T12" s="10"/>
      <c r="U12" s="10">
        <f t="shared" si="4"/>
        <v>0</v>
      </c>
      <c r="V12" s="11">
        <f t="shared" si="5"/>
        <v>20800000</v>
      </c>
      <c r="W12" s="10"/>
      <c r="X12" s="10"/>
      <c r="Y12" s="10">
        <v>4661930.9400000004</v>
      </c>
      <c r="Z12" s="10">
        <v>2517080.94</v>
      </c>
      <c r="AA12" s="10">
        <v>3263651.78</v>
      </c>
      <c r="AB12" s="10">
        <v>6352663.4399999995</v>
      </c>
      <c r="AC12" s="10">
        <v>0</v>
      </c>
      <c r="AD12" s="10">
        <f t="shared" si="6"/>
        <v>16795327.100000001</v>
      </c>
      <c r="AE12" s="10">
        <f t="shared" si="7"/>
        <v>4004672.8999999985</v>
      </c>
      <c r="AF12" s="45">
        <f t="shared" si="8"/>
        <v>0.80746764903846158</v>
      </c>
      <c r="AG12" s="112" t="s">
        <v>65</v>
      </c>
      <c r="AH12" s="114">
        <v>133067.72</v>
      </c>
      <c r="AI12" s="114">
        <v>399203.16</v>
      </c>
      <c r="AJ12" s="114">
        <v>578733.67000000004</v>
      </c>
      <c r="AK12" s="114">
        <v>578733.67000000004</v>
      </c>
      <c r="AL12" s="114">
        <v>578733.67000000004</v>
      </c>
      <c r="AM12" s="114">
        <v>723417.08</v>
      </c>
      <c r="AN12" s="114">
        <v>723417.09</v>
      </c>
      <c r="AO12" s="114">
        <v>289366.84000000003</v>
      </c>
      <c r="AP12" s="113" t="s">
        <v>170</v>
      </c>
      <c r="AQ12" s="105">
        <f t="shared" si="9"/>
        <v>4004672.9</v>
      </c>
      <c r="AR12" s="105">
        <f t="shared" si="10"/>
        <v>0</v>
      </c>
      <c r="AS12" s="112" t="s">
        <v>169</v>
      </c>
      <c r="AT12" s="118" t="s">
        <v>180</v>
      </c>
    </row>
    <row r="13" spans="1:46" ht="100.8" x14ac:dyDescent="0.3">
      <c r="A13" s="43" t="s">
        <v>87</v>
      </c>
      <c r="B13" s="43" t="s">
        <v>88</v>
      </c>
      <c r="C13" s="56" t="s">
        <v>111</v>
      </c>
      <c r="D13" s="6" t="s">
        <v>90</v>
      </c>
      <c r="E13" s="6" t="s">
        <v>65</v>
      </c>
      <c r="F13" s="44" t="s">
        <v>112</v>
      </c>
      <c r="G13" s="7">
        <v>44854</v>
      </c>
      <c r="H13" s="7">
        <v>46326</v>
      </c>
      <c r="I13" s="9">
        <v>3222</v>
      </c>
      <c r="J13" s="9">
        <v>33</v>
      </c>
      <c r="K13" s="11">
        <v>3953689</v>
      </c>
      <c r="L13" s="10"/>
      <c r="M13" s="10"/>
      <c r="N13" s="10">
        <f t="shared" si="3"/>
        <v>3953689</v>
      </c>
      <c r="O13" s="10"/>
      <c r="P13" s="10"/>
      <c r="Q13" s="10"/>
      <c r="R13" s="10"/>
      <c r="S13" s="10"/>
      <c r="T13" s="10"/>
      <c r="U13" s="10">
        <f t="shared" si="4"/>
        <v>0</v>
      </c>
      <c r="V13" s="11">
        <f t="shared" si="5"/>
        <v>3953689</v>
      </c>
      <c r="W13" s="10"/>
      <c r="X13" s="10"/>
      <c r="Y13" s="10"/>
      <c r="Z13" s="10">
        <v>820927.41</v>
      </c>
      <c r="AA13" s="10">
        <v>1889733.67</v>
      </c>
      <c r="AB13" s="10">
        <v>968761.75999999989</v>
      </c>
      <c r="AC13" s="10"/>
      <c r="AD13" s="10">
        <f t="shared" si="6"/>
        <v>3679422.84</v>
      </c>
      <c r="AE13" s="10">
        <f t="shared" si="7"/>
        <v>274266.16000000015</v>
      </c>
      <c r="AF13" s="45">
        <f t="shared" si="8"/>
        <v>0.93063031513100802</v>
      </c>
      <c r="AG13" s="112" t="s">
        <v>65</v>
      </c>
      <c r="AH13" s="114">
        <v>117895.36</v>
      </c>
      <c r="AI13" s="114">
        <v>13030.9</v>
      </c>
      <c r="AJ13" s="114">
        <v>39092.699999999997</v>
      </c>
      <c r="AK13" s="114">
        <v>19546.349999999999</v>
      </c>
      <c r="AL13" s="114">
        <v>26061.8</v>
      </c>
      <c r="AM13" s="114">
        <v>58639.05</v>
      </c>
      <c r="AN13" s="115" t="s">
        <v>170</v>
      </c>
      <c r="AO13" s="115" t="s">
        <v>170</v>
      </c>
      <c r="AP13" s="115" t="s">
        <v>170</v>
      </c>
      <c r="AQ13" s="105">
        <f t="shared" si="9"/>
        <v>274266.15999999997</v>
      </c>
      <c r="AR13" s="105">
        <f t="shared" si="10"/>
        <v>0</v>
      </c>
      <c r="AS13" s="112" t="s">
        <v>170</v>
      </c>
      <c r="AT13" s="118" t="s">
        <v>181</v>
      </c>
    </row>
    <row r="14" spans="1:46" ht="86.4" x14ac:dyDescent="0.3">
      <c r="A14" s="43" t="s">
        <v>87</v>
      </c>
      <c r="B14" s="43" t="s">
        <v>88</v>
      </c>
      <c r="C14" s="56" t="s">
        <v>113</v>
      </c>
      <c r="D14" s="6" t="s">
        <v>90</v>
      </c>
      <c r="E14" s="6" t="s">
        <v>65</v>
      </c>
      <c r="F14" s="44" t="s">
        <v>114</v>
      </c>
      <c r="G14" s="7">
        <v>44854</v>
      </c>
      <c r="H14" s="7">
        <v>46295</v>
      </c>
      <c r="I14" s="12">
        <v>3161</v>
      </c>
      <c r="J14" s="9">
        <v>63</v>
      </c>
      <c r="K14" s="11">
        <v>10000000</v>
      </c>
      <c r="L14" s="10"/>
      <c r="M14" s="10"/>
      <c r="N14" s="10">
        <f t="shared" si="3"/>
        <v>10000000</v>
      </c>
      <c r="O14" s="10"/>
      <c r="P14" s="10"/>
      <c r="Q14" s="10"/>
      <c r="R14" s="10"/>
      <c r="S14" s="10"/>
      <c r="T14" s="10"/>
      <c r="U14" s="10">
        <f t="shared" si="4"/>
        <v>0</v>
      </c>
      <c r="V14" s="11">
        <f t="shared" si="5"/>
        <v>10000000</v>
      </c>
      <c r="W14" s="10"/>
      <c r="X14" s="10"/>
      <c r="Y14" s="10"/>
      <c r="Z14" s="10">
        <v>0</v>
      </c>
      <c r="AA14" s="10">
        <v>1648607.93</v>
      </c>
      <c r="AB14" s="10">
        <v>7431628.3299999991</v>
      </c>
      <c r="AC14" s="10"/>
      <c r="AD14" s="10">
        <f t="shared" si="6"/>
        <v>9080236.2599999998</v>
      </c>
      <c r="AE14" s="10">
        <f t="shared" si="7"/>
        <v>919763.74000000022</v>
      </c>
      <c r="AF14" s="45">
        <f t="shared" si="8"/>
        <v>0.90802362599999997</v>
      </c>
      <c r="AG14" s="112" t="s">
        <v>65</v>
      </c>
      <c r="AH14" s="114">
        <v>183952.75</v>
      </c>
      <c r="AI14" s="114">
        <v>275929.13</v>
      </c>
      <c r="AJ14" s="114">
        <v>229940.94</v>
      </c>
      <c r="AK14" s="114">
        <v>137964.56</v>
      </c>
      <c r="AL14" s="114">
        <v>91976.36</v>
      </c>
      <c r="AM14" s="115" t="s">
        <v>170</v>
      </c>
      <c r="AN14" s="115" t="s">
        <v>170</v>
      </c>
      <c r="AO14" s="115" t="s">
        <v>170</v>
      </c>
      <c r="AP14" s="115" t="s">
        <v>170</v>
      </c>
      <c r="AQ14" s="105">
        <f t="shared" si="9"/>
        <v>919763.74000000011</v>
      </c>
      <c r="AR14" s="105">
        <f t="shared" si="10"/>
        <v>0</v>
      </c>
      <c r="AS14" s="112" t="s">
        <v>169</v>
      </c>
      <c r="AT14" s="118" t="s">
        <v>182</v>
      </c>
    </row>
    <row r="15" spans="1:46" ht="115.2" x14ac:dyDescent="0.3">
      <c r="A15" s="43" t="s">
        <v>87</v>
      </c>
      <c r="B15" s="43" t="s">
        <v>88</v>
      </c>
      <c r="C15" s="56" t="s">
        <v>115</v>
      </c>
      <c r="D15" s="6" t="s">
        <v>90</v>
      </c>
      <c r="E15" s="6" t="s">
        <v>65</v>
      </c>
      <c r="F15" s="44" t="s">
        <v>116</v>
      </c>
      <c r="G15" s="7">
        <v>44927</v>
      </c>
      <c r="H15" s="7">
        <v>46387</v>
      </c>
      <c r="I15" s="12">
        <v>3224</v>
      </c>
      <c r="J15" s="9" t="s">
        <v>117</v>
      </c>
      <c r="K15" s="11">
        <v>6446148</v>
      </c>
      <c r="L15" s="10"/>
      <c r="M15" s="10"/>
      <c r="N15" s="10">
        <f t="shared" si="3"/>
        <v>6446148</v>
      </c>
      <c r="O15" s="10"/>
      <c r="P15" s="10"/>
      <c r="Q15" s="10"/>
      <c r="R15" s="10"/>
      <c r="S15" s="10"/>
      <c r="T15" s="10"/>
      <c r="U15" s="10">
        <f t="shared" si="4"/>
        <v>0</v>
      </c>
      <c r="V15" s="11">
        <f t="shared" si="5"/>
        <v>6446148</v>
      </c>
      <c r="W15" s="10"/>
      <c r="X15" s="10"/>
      <c r="Y15" s="10">
        <v>105015.49</v>
      </c>
      <c r="Z15" s="10">
        <v>1191335.8299999998</v>
      </c>
      <c r="AA15" s="10">
        <v>1489526.7499999998</v>
      </c>
      <c r="AB15" s="10">
        <v>774530.10000000009</v>
      </c>
      <c r="AC15" s="10"/>
      <c r="AD15" s="10">
        <f t="shared" si="6"/>
        <v>3560408.1699999995</v>
      </c>
      <c r="AE15" s="10">
        <f t="shared" si="7"/>
        <v>2885739.8300000005</v>
      </c>
      <c r="AF15" s="45">
        <f t="shared" si="8"/>
        <v>0.55233112395185457</v>
      </c>
      <c r="AG15" s="112" t="s">
        <v>65</v>
      </c>
      <c r="AH15" s="114">
        <v>71591.839999999997</v>
      </c>
      <c r="AI15" s="114">
        <v>365368.85</v>
      </c>
      <c r="AJ15" s="114">
        <v>408129.86</v>
      </c>
      <c r="AK15" s="114">
        <v>408129.86</v>
      </c>
      <c r="AL15" s="114">
        <v>408129.86</v>
      </c>
      <c r="AM15" s="114">
        <v>408129.86</v>
      </c>
      <c r="AN15" s="114">
        <v>408129.86</v>
      </c>
      <c r="AO15" s="114">
        <v>408129.84</v>
      </c>
      <c r="AP15" s="113" t="s">
        <v>170</v>
      </c>
      <c r="AQ15" s="105">
        <f t="shared" si="9"/>
        <v>2885739.8299999996</v>
      </c>
      <c r="AR15" s="105">
        <f t="shared" si="10"/>
        <v>0</v>
      </c>
      <c r="AS15" s="112" t="s">
        <v>169</v>
      </c>
      <c r="AT15" s="118" t="s">
        <v>183</v>
      </c>
    </row>
    <row r="16" spans="1:46" ht="187.2" x14ac:dyDescent="0.3">
      <c r="A16" s="43" t="s">
        <v>87</v>
      </c>
      <c r="B16" s="43" t="s">
        <v>88</v>
      </c>
      <c r="C16" s="56" t="s">
        <v>118</v>
      </c>
      <c r="D16" s="6" t="s">
        <v>90</v>
      </c>
      <c r="E16" s="6" t="s">
        <v>65</v>
      </c>
      <c r="F16" s="44" t="s">
        <v>119</v>
      </c>
      <c r="G16" s="7">
        <v>45273</v>
      </c>
      <c r="H16" s="7">
        <v>46387</v>
      </c>
      <c r="I16" s="9">
        <v>3645</v>
      </c>
      <c r="J16" s="9">
        <v>62</v>
      </c>
      <c r="K16" s="11">
        <v>4920000</v>
      </c>
      <c r="L16" s="10"/>
      <c r="M16" s="10"/>
      <c r="N16" s="10">
        <f t="shared" si="3"/>
        <v>4920000</v>
      </c>
      <c r="O16" s="10">
        <v>660000</v>
      </c>
      <c r="P16" s="10"/>
      <c r="Q16" s="10">
        <f>744094</f>
        <v>744094</v>
      </c>
      <c r="R16" s="10"/>
      <c r="S16" s="10"/>
      <c r="T16" s="10"/>
      <c r="U16" s="10">
        <f t="shared" si="4"/>
        <v>1404094</v>
      </c>
      <c r="V16" s="11">
        <f t="shared" si="5"/>
        <v>3515906</v>
      </c>
      <c r="W16" s="10"/>
      <c r="X16" s="10"/>
      <c r="Y16" s="10"/>
      <c r="Z16" s="10">
        <v>127478.69</v>
      </c>
      <c r="AA16" s="10">
        <v>1251293.04</v>
      </c>
      <c r="AB16" s="10">
        <v>1132091.1499999999</v>
      </c>
      <c r="AC16" s="10"/>
      <c r="AD16" s="10">
        <f t="shared" si="6"/>
        <v>2510862.88</v>
      </c>
      <c r="AE16" s="10">
        <f t="shared" si="7"/>
        <v>1005043.1200000001</v>
      </c>
      <c r="AF16" s="45">
        <f t="shared" si="8"/>
        <v>0.7141439162480453</v>
      </c>
      <c r="AG16" s="112" t="s">
        <v>65</v>
      </c>
      <c r="AH16" s="114">
        <v>125630.39</v>
      </c>
      <c r="AI16" s="114">
        <v>125630.39</v>
      </c>
      <c r="AJ16" s="114">
        <v>125630.39</v>
      </c>
      <c r="AK16" s="114">
        <v>125630.39</v>
      </c>
      <c r="AL16" s="114">
        <v>125630.39</v>
      </c>
      <c r="AM16" s="114">
        <v>125630.39</v>
      </c>
      <c r="AN16" s="114">
        <v>125630.39</v>
      </c>
      <c r="AO16" s="114">
        <v>125630.39</v>
      </c>
      <c r="AP16" s="113" t="s">
        <v>170</v>
      </c>
      <c r="AQ16" s="105">
        <f t="shared" si="9"/>
        <v>1005043.12</v>
      </c>
      <c r="AR16" s="105">
        <f t="shared" si="10"/>
        <v>0</v>
      </c>
      <c r="AS16" s="112" t="s">
        <v>169</v>
      </c>
      <c r="AT16" s="118" t="s">
        <v>184</v>
      </c>
    </row>
    <row r="17" spans="1:46" ht="57.6" x14ac:dyDescent="0.3">
      <c r="A17" s="43" t="s">
        <v>87</v>
      </c>
      <c r="B17" s="43" t="s">
        <v>88</v>
      </c>
      <c r="C17" s="54" t="s">
        <v>120</v>
      </c>
      <c r="D17" s="6" t="s">
        <v>90</v>
      </c>
      <c r="E17" s="6" t="s">
        <v>65</v>
      </c>
      <c r="F17" s="44" t="s">
        <v>121</v>
      </c>
      <c r="G17" s="7">
        <v>45273</v>
      </c>
      <c r="H17" s="7">
        <v>46387</v>
      </c>
      <c r="I17" s="9">
        <v>3161</v>
      </c>
      <c r="J17" s="9">
        <v>64</v>
      </c>
      <c r="K17" s="11">
        <v>14905281</v>
      </c>
      <c r="L17" s="11">
        <f>2939148+221588.96+530360.14</f>
        <v>3691097.1</v>
      </c>
      <c r="M17" s="10"/>
      <c r="N17" s="10">
        <f t="shared" si="3"/>
        <v>18596378.100000001</v>
      </c>
      <c r="O17" s="10"/>
      <c r="P17" s="10"/>
      <c r="Q17" s="10"/>
      <c r="R17" s="10"/>
      <c r="S17" s="10"/>
      <c r="T17" s="10"/>
      <c r="U17" s="10">
        <f t="shared" si="4"/>
        <v>0</v>
      </c>
      <c r="V17" s="11">
        <f t="shared" si="5"/>
        <v>18596378.100000001</v>
      </c>
      <c r="W17" s="10"/>
      <c r="X17" s="10"/>
      <c r="Y17" s="10"/>
      <c r="Z17" s="10">
        <v>375456.73</v>
      </c>
      <c r="AA17" s="10">
        <v>9082223.2999999989</v>
      </c>
      <c r="AB17" s="10">
        <v>4927185.01</v>
      </c>
      <c r="AC17" s="10"/>
      <c r="AD17" s="10">
        <f t="shared" si="6"/>
        <v>14384865.039999999</v>
      </c>
      <c r="AE17" s="10">
        <f t="shared" si="7"/>
        <v>4211513.0600000024</v>
      </c>
      <c r="AF17" s="45">
        <f t="shared" si="8"/>
        <v>0.77353046720425622</v>
      </c>
      <c r="AG17" s="112" t="s">
        <v>65</v>
      </c>
      <c r="AH17" s="114">
        <v>1121255.6000000001</v>
      </c>
      <c r="AI17" s="114">
        <v>735775.59</v>
      </c>
      <c r="AJ17" s="114">
        <v>631540.71</v>
      </c>
      <c r="AK17" s="114">
        <v>564094.62</v>
      </c>
      <c r="AL17" s="114">
        <v>441465.35</v>
      </c>
      <c r="AM17" s="114">
        <v>340290.2</v>
      </c>
      <c r="AN17" s="114">
        <v>266724.65000000002</v>
      </c>
      <c r="AO17" s="114">
        <v>110366.34</v>
      </c>
      <c r="AP17" s="113" t="s">
        <v>170</v>
      </c>
      <c r="AQ17" s="105">
        <f t="shared" si="9"/>
        <v>4211513.0600000005</v>
      </c>
      <c r="AR17" s="105">
        <f t="shared" si="10"/>
        <v>0</v>
      </c>
      <c r="AS17" s="112" t="s">
        <v>169</v>
      </c>
      <c r="AT17" s="118" t="s">
        <v>185</v>
      </c>
    </row>
    <row r="18" spans="1:46" ht="86.4" x14ac:dyDescent="0.3">
      <c r="A18" s="43" t="s">
        <v>87</v>
      </c>
      <c r="B18" s="43" t="s">
        <v>88</v>
      </c>
      <c r="C18" s="72" t="s">
        <v>122</v>
      </c>
      <c r="D18" s="6" t="s">
        <v>90</v>
      </c>
      <c r="E18" s="6" t="s">
        <v>65</v>
      </c>
      <c r="F18" s="44" t="s">
        <v>123</v>
      </c>
      <c r="G18" s="7">
        <v>45247</v>
      </c>
      <c r="H18" s="7">
        <v>46387</v>
      </c>
      <c r="I18" s="9">
        <v>3161</v>
      </c>
      <c r="J18" s="9">
        <v>65</v>
      </c>
      <c r="K18" s="11">
        <v>5716150</v>
      </c>
      <c r="L18" s="10"/>
      <c r="M18" s="10"/>
      <c r="N18" s="10">
        <f t="shared" si="3"/>
        <v>5716150</v>
      </c>
      <c r="O18" s="10"/>
      <c r="P18" s="10"/>
      <c r="Q18" s="10">
        <v>593974</v>
      </c>
      <c r="R18" s="10">
        <v>2721280</v>
      </c>
      <c r="S18" s="10"/>
      <c r="T18" s="10"/>
      <c r="U18" s="10">
        <f t="shared" si="4"/>
        <v>3315254</v>
      </c>
      <c r="V18" s="11">
        <f t="shared" si="5"/>
        <v>2400896</v>
      </c>
      <c r="W18" s="10"/>
      <c r="X18" s="10"/>
      <c r="Y18" s="10"/>
      <c r="Z18" s="10">
        <v>192214.88</v>
      </c>
      <c r="AA18" s="10">
        <v>644083.94000000006</v>
      </c>
      <c r="AB18" s="10">
        <v>489676.10000000003</v>
      </c>
      <c r="AC18" s="10"/>
      <c r="AD18" s="10">
        <f t="shared" si="6"/>
        <v>1325974.9200000002</v>
      </c>
      <c r="AE18" s="10">
        <f t="shared" si="7"/>
        <v>1074921.0799999998</v>
      </c>
      <c r="AF18" s="45">
        <f t="shared" si="8"/>
        <v>0.55228336421069479</v>
      </c>
      <c r="AG18" s="112" t="s">
        <v>65</v>
      </c>
      <c r="AH18" s="114">
        <v>115504.2</v>
      </c>
      <c r="AI18" s="114">
        <v>106659.86</v>
      </c>
      <c r="AJ18" s="114">
        <v>62229.67</v>
      </c>
      <c r="AK18" s="114">
        <v>62229.67</v>
      </c>
      <c r="AL18" s="114">
        <v>62229.67</v>
      </c>
      <c r="AM18" s="114">
        <v>62229.67</v>
      </c>
      <c r="AN18" s="114">
        <v>62229.67</v>
      </c>
      <c r="AO18" s="114">
        <v>62229.67</v>
      </c>
      <c r="AP18" s="113" t="s">
        <v>170</v>
      </c>
      <c r="AQ18" s="105">
        <f t="shared" si="9"/>
        <v>595542.07999999996</v>
      </c>
      <c r="AR18" s="105">
        <f t="shared" si="10"/>
        <v>-479378.99999999988</v>
      </c>
      <c r="AS18" s="112" t="s">
        <v>178</v>
      </c>
      <c r="AT18" s="118" t="s">
        <v>186</v>
      </c>
    </row>
    <row r="19" spans="1:46" x14ac:dyDescent="0.3">
      <c r="A19" s="73"/>
      <c r="B19" s="73"/>
      <c r="C19" s="74"/>
      <c r="D19" s="73"/>
      <c r="E19" s="75"/>
      <c r="F19" s="76"/>
      <c r="G19" s="73"/>
      <c r="H19" s="73"/>
      <c r="I19" s="73"/>
      <c r="J19" s="73"/>
      <c r="K19" s="73"/>
      <c r="L19" s="73"/>
      <c r="M19" s="73"/>
      <c r="N19" s="78">
        <f t="shared" ref="N19:AE19" si="11">SUM(N4:N18)</f>
        <v>95990233.099999994</v>
      </c>
      <c r="O19" s="78">
        <f t="shared" si="11"/>
        <v>660000</v>
      </c>
      <c r="P19" s="78">
        <f t="shared" si="11"/>
        <v>5000000</v>
      </c>
      <c r="Q19" s="78">
        <f t="shared" si="11"/>
        <v>3238068</v>
      </c>
      <c r="R19" s="78">
        <f t="shared" si="11"/>
        <v>2721280</v>
      </c>
      <c r="S19" s="78">
        <f t="shared" si="11"/>
        <v>288337.5</v>
      </c>
      <c r="T19" s="78">
        <f t="shared" si="11"/>
        <v>0</v>
      </c>
      <c r="U19" s="78">
        <f t="shared" si="11"/>
        <v>11907685.5</v>
      </c>
      <c r="V19" s="78">
        <f t="shared" si="11"/>
        <v>84082547.599999994</v>
      </c>
      <c r="W19" s="78">
        <f t="shared" si="11"/>
        <v>0</v>
      </c>
      <c r="X19" s="78">
        <f t="shared" si="11"/>
        <v>0</v>
      </c>
      <c r="Y19" s="78">
        <f t="shared" si="11"/>
        <v>5181390.45</v>
      </c>
      <c r="Z19" s="78">
        <f t="shared" si="11"/>
        <v>8246904.6900000004</v>
      </c>
      <c r="AA19" s="78">
        <f t="shared" si="11"/>
        <v>25480069.169999998</v>
      </c>
      <c r="AB19" s="78">
        <f t="shared" si="11"/>
        <v>26840735.990000002</v>
      </c>
      <c r="AC19" s="78">
        <f t="shared" si="11"/>
        <v>0</v>
      </c>
      <c r="AD19" s="78">
        <f t="shared" si="11"/>
        <v>65749100.300000004</v>
      </c>
      <c r="AE19" s="78">
        <f t="shared" si="11"/>
        <v>18333447.299999997</v>
      </c>
      <c r="AF19" s="77"/>
      <c r="AG19" s="78">
        <f t="shared" ref="AG19:AR19" si="12">SUM(AG4:AG18)</f>
        <v>0</v>
      </c>
      <c r="AH19" s="78">
        <f t="shared" si="12"/>
        <v>2254957.9600000004</v>
      </c>
      <c r="AI19" s="78">
        <f t="shared" si="12"/>
        <v>2612987.2799999998</v>
      </c>
      <c r="AJ19" s="78">
        <f t="shared" si="12"/>
        <v>2564129.9699999997</v>
      </c>
      <c r="AK19" s="78">
        <f t="shared" si="12"/>
        <v>2385161.15</v>
      </c>
      <c r="AL19" s="78">
        <f t="shared" si="12"/>
        <v>2223059.13</v>
      </c>
      <c r="AM19" s="78">
        <f t="shared" si="12"/>
        <v>2182566.17</v>
      </c>
      <c r="AN19" s="78">
        <f t="shared" si="12"/>
        <v>2051329.0799999996</v>
      </c>
      <c r="AO19" s="78">
        <f t="shared" si="12"/>
        <v>1464904.67</v>
      </c>
      <c r="AP19" s="78">
        <f t="shared" si="12"/>
        <v>71715.520000000004</v>
      </c>
      <c r="AQ19" s="78">
        <f t="shared" si="12"/>
        <v>17810810.93</v>
      </c>
      <c r="AR19" s="108">
        <f t="shared" si="12"/>
        <v>-522636.36999999953</v>
      </c>
      <c r="AS19" s="73"/>
      <c r="AT19" s="73"/>
    </row>
  </sheetData>
  <mergeCells count="2">
    <mergeCell ref="AD2:AE2"/>
    <mergeCell ref="AG2:AR2"/>
  </mergeCells>
  <hyperlinks>
    <hyperlink ref="C17" location="'406-24JBMHP01'!A1" display="24JBMHP01" xr:uid="{48833DA8-988F-413F-9814-ED137E405141}"/>
    <hyperlink ref="C16" location="'406-24FPROS01'!Print_Area" display="24FRPOS01" xr:uid="{595702C0-742A-4F9B-953E-5CEB03A87D58}"/>
    <hyperlink ref="C18" location="'406-24SNFLT01'!Print_Area" display="24SNFLT01" xr:uid="{1FBEBA7F-40E4-4EE0-9E9F-74DE04623255}"/>
    <hyperlink ref="C9" location="'406-23HCWSS02'!Print_Area" display="23HCWSS02" xr:uid="{89CBEA6C-6009-45FC-B848-2A700F64D015}"/>
    <hyperlink ref="C15" location="'406-23RHSCC01'!Print_Area" display="23RHSCC01" xr:uid="{E397D273-839D-4E1F-878B-68FBF9E85215}"/>
    <hyperlink ref="C5" location="'406-22BHSTF01b-c'!Print_Area" display="22BHSTF01b-c" xr:uid="{2A9254D1-A254-4E87-A8CE-ACF8AA2BF0B6}"/>
    <hyperlink ref="C4" location="'406-22BHCGM01'!Print_Area" display="22BHCGM01" xr:uid="{1A772B42-318F-4A8B-8937-5D85148CF352}"/>
    <hyperlink ref="C12" location="'406-23LRHA01'!A1" display="23LRHA01" xr:uid="{98E0A87D-F758-44B6-BEC2-A838A2A99417}"/>
    <hyperlink ref="C11" location="'406-23LCCMS01'!Print_Area" display="23LCCMS01" xr:uid="{C3646B54-7647-425B-AF6B-B8F7D742ADD4}"/>
    <hyperlink ref="C13" location="'406-23NBSTR01'!Print_Area" display="23NBSTR01" xr:uid="{ECE094DC-E968-4D52-9113-D4F8EA63BBD8}"/>
    <hyperlink ref="C6" location="'406-23CFAEP01'!Print_Area" display="23CFAEP01" xr:uid="{3B85A997-1642-49BF-ABB8-38466DA0A8D5}"/>
    <hyperlink ref="C14" location="'406-23RCCLV01'!Print_Area" display="23RCCLV01" xr:uid="{F06FAC77-10E5-41AB-AAC7-322382E0BB99}"/>
    <hyperlink ref="C7" location="'406-23EMGCS01'!A1" display="23EMGCS01" xr:uid="{D5529830-FACC-44DD-91F6-F840CB6947B7}"/>
    <hyperlink ref="C10" location="'406-23IBCLC02'!A1" display="23IBCLC02" xr:uid="{B194DB42-8ED5-47F3-B4D9-441BF1F8DDF6}"/>
    <hyperlink ref="C8" location="'406-23GIDTR01'!Print_Area" display="23GIDTR01" xr:uid="{278EAFF5-2615-4107-B71C-1080FCABD314}"/>
  </hyperlink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AEFBF-0E6B-49C0-88E5-B6CB364B5E5C}">
  <dimension ref="A1:AT7"/>
  <sheetViews>
    <sheetView topLeftCell="AG1" workbookViewId="0">
      <selection activeCell="AQ13" sqref="AQ13"/>
    </sheetView>
  </sheetViews>
  <sheetFormatPr defaultColWidth="9.44140625" defaultRowHeight="14.4" x14ac:dyDescent="0.3"/>
  <cols>
    <col min="1" max="1" width="8.33203125" customWidth="1"/>
    <col min="2" max="2" width="7.6640625" customWidth="1"/>
    <col min="3" max="3" width="15.5546875" style="47" bestFit="1" customWidth="1"/>
    <col min="4" max="4" width="12.6640625" customWidth="1"/>
    <col min="5" max="5" width="15.6640625" style="16" customWidth="1"/>
    <col min="6" max="6" width="31.5546875" style="19" customWidth="1"/>
    <col min="7" max="7" width="11" customWidth="1"/>
    <col min="8" max="8" width="11.109375" customWidth="1"/>
    <col min="9" max="9" width="7.88671875" customWidth="1"/>
    <col min="10" max="10" width="8" customWidth="1"/>
    <col min="11" max="11" width="16.109375" hidden="1" customWidth="1"/>
    <col min="12" max="12" width="16.88671875" hidden="1" customWidth="1"/>
    <col min="13" max="13" width="14.5546875" hidden="1" customWidth="1"/>
    <col min="14" max="14" width="17.88671875" style="17" customWidth="1"/>
    <col min="15" max="16" width="16.109375" hidden="1" customWidth="1"/>
    <col min="17" max="17" width="16.109375" style="14" hidden="1" customWidth="1"/>
    <col min="18" max="19" width="16.109375" hidden="1" customWidth="1"/>
    <col min="20" max="20" width="15.5546875" hidden="1" customWidth="1"/>
    <col min="21" max="21" width="15" customWidth="1"/>
    <col min="22" max="22" width="17.6640625" customWidth="1"/>
    <col min="23" max="23" width="12.44140625" hidden="1" customWidth="1"/>
    <col min="24" max="25" width="16.33203125" hidden="1" customWidth="1"/>
    <col min="26" max="26" width="16" hidden="1" customWidth="1"/>
    <col min="27" max="27" width="14.5546875" hidden="1" customWidth="1"/>
    <col min="28" max="28" width="15.33203125" hidden="1" customWidth="1"/>
    <col min="29" max="29" width="10.109375" hidden="1" customWidth="1"/>
    <col min="30" max="30" width="18.109375" customWidth="1"/>
    <col min="31" max="31" width="16.88671875" bestFit="1" customWidth="1"/>
    <col min="32" max="32" width="9.44140625" style="15"/>
    <col min="33" max="45" width="17.44140625" customWidth="1"/>
    <col min="46" max="46" width="39.33203125" customWidth="1"/>
  </cols>
  <sheetData>
    <row r="1" spans="1:46" s="42" customFormat="1" ht="20.25" customHeight="1" thickBot="1" x14ac:dyDescent="0.35">
      <c r="C1" s="40"/>
      <c r="E1" s="79"/>
      <c r="F1" s="80"/>
      <c r="N1" s="50">
        <f t="shared" ref="N1:AE1" si="0">N7</f>
        <v>91010328</v>
      </c>
      <c r="O1" s="50">
        <f t="shared" si="0"/>
        <v>0</v>
      </c>
      <c r="P1" s="50">
        <f t="shared" si="0"/>
        <v>0</v>
      </c>
      <c r="Q1" s="50">
        <f t="shared" si="0"/>
        <v>0</v>
      </c>
      <c r="R1" s="50">
        <f t="shared" si="0"/>
        <v>0</v>
      </c>
      <c r="S1" s="50">
        <f t="shared" si="0"/>
        <v>0</v>
      </c>
      <c r="T1" s="50">
        <f t="shared" si="0"/>
        <v>0</v>
      </c>
      <c r="U1" s="50">
        <f t="shared" si="0"/>
        <v>0</v>
      </c>
      <c r="V1" s="50">
        <f t="shared" si="0"/>
        <v>91010328</v>
      </c>
      <c r="W1" s="50">
        <f t="shared" si="0"/>
        <v>0</v>
      </c>
      <c r="X1" s="50">
        <f t="shared" si="0"/>
        <v>0</v>
      </c>
      <c r="Y1" s="50">
        <f t="shared" si="0"/>
        <v>11418760.280000001</v>
      </c>
      <c r="Z1" s="50">
        <f t="shared" si="0"/>
        <v>22299776.729999997</v>
      </c>
      <c r="AA1" s="50">
        <f t="shared" si="0"/>
        <v>19829864.850000001</v>
      </c>
      <c r="AB1" s="50">
        <f t="shared" si="0"/>
        <v>19403319.960000001</v>
      </c>
      <c r="AC1" s="50">
        <f t="shared" si="0"/>
        <v>0</v>
      </c>
      <c r="AD1" s="50">
        <f t="shared" si="0"/>
        <v>72951721.819999993</v>
      </c>
      <c r="AE1" s="50">
        <f t="shared" si="0"/>
        <v>18058606.179999996</v>
      </c>
      <c r="AF1" s="5"/>
      <c r="AQ1" s="50">
        <f>AQ7</f>
        <v>18058606.18</v>
      </c>
    </row>
    <row r="2" spans="1:46" s="1" customFormat="1" ht="18.600000000000001" thickBot="1" x14ac:dyDescent="0.3">
      <c r="C2" s="40"/>
      <c r="E2" s="2"/>
      <c r="F2" s="41"/>
      <c r="K2" s="3" t="e">
        <f>#REF!</f>
        <v>#REF!</v>
      </c>
      <c r="L2" s="3" t="e">
        <f>#REF!</f>
        <v>#REF!</v>
      </c>
      <c r="M2" s="3" t="e">
        <f>#REF!</f>
        <v>#REF!</v>
      </c>
      <c r="N2" s="4"/>
      <c r="O2" s="3"/>
      <c r="P2" s="3"/>
      <c r="Q2" s="3"/>
      <c r="R2" s="3"/>
      <c r="S2" s="3"/>
      <c r="T2" s="3"/>
      <c r="U2" s="3"/>
      <c r="V2" s="3"/>
      <c r="W2" s="3">
        <f t="shared" ref="W2:AC2" si="1">SUM(W4:W6)</f>
        <v>0</v>
      </c>
      <c r="X2" s="3">
        <f t="shared" si="1"/>
        <v>0</v>
      </c>
      <c r="Y2" s="3">
        <f t="shared" si="1"/>
        <v>11418760.280000001</v>
      </c>
      <c r="Z2" s="3">
        <f t="shared" si="1"/>
        <v>22299776.729999997</v>
      </c>
      <c r="AA2" s="3">
        <f t="shared" si="1"/>
        <v>19829864.850000001</v>
      </c>
      <c r="AB2" s="3">
        <f t="shared" si="1"/>
        <v>19403319.960000001</v>
      </c>
      <c r="AC2" s="3">
        <f t="shared" si="1"/>
        <v>0</v>
      </c>
      <c r="AD2" s="129" t="s">
        <v>21</v>
      </c>
      <c r="AE2" s="130"/>
      <c r="AF2" s="5"/>
      <c r="AG2" s="131" t="s">
        <v>22</v>
      </c>
      <c r="AH2" s="132"/>
      <c r="AI2" s="132"/>
      <c r="AJ2" s="132"/>
      <c r="AK2" s="132"/>
      <c r="AL2" s="132"/>
      <c r="AM2" s="132"/>
      <c r="AN2" s="132"/>
      <c r="AO2" s="132"/>
      <c r="AP2" s="132"/>
      <c r="AQ2" s="132"/>
      <c r="AR2" s="133"/>
      <c r="AS2" s="48"/>
      <c r="AT2" s="49"/>
    </row>
    <row r="3" spans="1:46" ht="83.4" thickBot="1" x14ac:dyDescent="0.35">
      <c r="A3" s="85" t="s">
        <v>23</v>
      </c>
      <c r="B3" s="86" t="s">
        <v>24</v>
      </c>
      <c r="C3" s="87" t="s">
        <v>25</v>
      </c>
      <c r="D3" s="88" t="s">
        <v>26</v>
      </c>
      <c r="E3" s="89" t="s">
        <v>27</v>
      </c>
      <c r="F3" s="90" t="s">
        <v>28</v>
      </c>
      <c r="G3" s="91" t="s">
        <v>29</v>
      </c>
      <c r="H3" s="91" t="s">
        <v>30</v>
      </c>
      <c r="I3" s="91" t="s">
        <v>31</v>
      </c>
      <c r="J3" s="91" t="s">
        <v>32</v>
      </c>
      <c r="K3" s="18" t="s">
        <v>33</v>
      </c>
      <c r="L3" s="92" t="s">
        <v>34</v>
      </c>
      <c r="M3" s="18" t="s">
        <v>35</v>
      </c>
      <c r="N3" s="18" t="s">
        <v>36</v>
      </c>
      <c r="O3" s="93" t="s">
        <v>37</v>
      </c>
      <c r="P3" s="93" t="s">
        <v>38</v>
      </c>
      <c r="Q3" s="93" t="s">
        <v>39</v>
      </c>
      <c r="R3" s="93" t="s">
        <v>40</v>
      </c>
      <c r="S3" s="93" t="s">
        <v>41</v>
      </c>
      <c r="T3" s="93" t="s">
        <v>42</v>
      </c>
      <c r="U3" s="93" t="s">
        <v>43</v>
      </c>
      <c r="V3" s="94" t="s">
        <v>44</v>
      </c>
      <c r="W3" s="95" t="s">
        <v>45</v>
      </c>
      <c r="X3" s="95" t="s">
        <v>46</v>
      </c>
      <c r="Y3" s="96" t="s">
        <v>47</v>
      </c>
      <c r="Z3" s="96" t="s">
        <v>48</v>
      </c>
      <c r="AA3" s="96" t="s">
        <v>49</v>
      </c>
      <c r="AB3" s="95" t="s">
        <v>50</v>
      </c>
      <c r="AC3" s="95" t="s">
        <v>51</v>
      </c>
      <c r="AD3" s="97" t="s">
        <v>52</v>
      </c>
      <c r="AE3" s="98" t="s">
        <v>53</v>
      </c>
      <c r="AF3" s="99" t="s">
        <v>54</v>
      </c>
      <c r="AG3" s="100" t="s">
        <v>55</v>
      </c>
      <c r="AH3" s="101">
        <v>46158</v>
      </c>
      <c r="AI3" s="101">
        <f t="shared" ref="AI3:AO3" si="2">AH3+30</f>
        <v>46188</v>
      </c>
      <c r="AJ3" s="101">
        <f t="shared" si="2"/>
        <v>46218</v>
      </c>
      <c r="AK3" s="101">
        <f t="shared" si="2"/>
        <v>46248</v>
      </c>
      <c r="AL3" s="101">
        <f t="shared" si="2"/>
        <v>46278</v>
      </c>
      <c r="AM3" s="101">
        <f t="shared" si="2"/>
        <v>46308</v>
      </c>
      <c r="AN3" s="101">
        <f t="shared" si="2"/>
        <v>46338</v>
      </c>
      <c r="AO3" s="101">
        <f t="shared" si="2"/>
        <v>46368</v>
      </c>
      <c r="AP3" s="100" t="s">
        <v>56</v>
      </c>
      <c r="AQ3" s="100" t="s">
        <v>57</v>
      </c>
      <c r="AR3" s="100" t="s">
        <v>58</v>
      </c>
      <c r="AS3" s="102" t="s">
        <v>59</v>
      </c>
      <c r="AT3" s="103" t="s">
        <v>60</v>
      </c>
    </row>
    <row r="4" spans="1:46" ht="57.6" x14ac:dyDescent="0.3">
      <c r="A4" s="43" t="s">
        <v>124</v>
      </c>
      <c r="B4" s="43" t="s">
        <v>129</v>
      </c>
      <c r="C4" s="56" t="s">
        <v>126</v>
      </c>
      <c r="D4" s="6" t="s">
        <v>127</v>
      </c>
      <c r="E4" s="6" t="s">
        <v>65</v>
      </c>
      <c r="F4" s="44" t="s">
        <v>128</v>
      </c>
      <c r="G4" s="7">
        <v>44859</v>
      </c>
      <c r="H4" s="7">
        <v>46387</v>
      </c>
      <c r="I4" s="9">
        <v>3228</v>
      </c>
      <c r="J4" s="9">
        <v>53</v>
      </c>
      <c r="K4" s="11">
        <v>3112296</v>
      </c>
      <c r="L4" s="10"/>
      <c r="M4" s="10">
        <v>9387704</v>
      </c>
      <c r="N4" s="10">
        <f t="shared" ref="N4:N6" si="3">SUM(K4:M4)</f>
        <v>12500000</v>
      </c>
      <c r="O4" s="10"/>
      <c r="P4" s="10"/>
      <c r="Q4" s="10"/>
      <c r="R4" s="10"/>
      <c r="S4" s="10"/>
      <c r="T4" s="10"/>
      <c r="U4" s="10">
        <f t="shared" ref="U4:U6" si="4">SUM(O4:T4)</f>
        <v>0</v>
      </c>
      <c r="V4" s="11">
        <f t="shared" ref="V4:V6" si="5">K4-U4+L4+M4</f>
        <v>12500000</v>
      </c>
      <c r="W4" s="10"/>
      <c r="X4" s="10"/>
      <c r="Y4" s="10"/>
      <c r="Z4" s="10">
        <v>4148997.17</v>
      </c>
      <c r="AA4" s="10">
        <v>3964544.8200000003</v>
      </c>
      <c r="AB4" s="10">
        <v>1894081.81</v>
      </c>
      <c r="AC4" s="10"/>
      <c r="AD4" s="10">
        <f t="shared" ref="AD4:AD6" si="6">SUM(W4:AC4)</f>
        <v>10007623.800000001</v>
      </c>
      <c r="AE4" s="10">
        <f t="shared" ref="AE4:AE6" si="7">V4-AD4</f>
        <v>2492376.1999999993</v>
      </c>
      <c r="AF4" s="45">
        <f t="shared" ref="AF4:AF6" si="8">AD4/V4</f>
        <v>0.80060990400000009</v>
      </c>
      <c r="AG4" s="106">
        <v>0</v>
      </c>
      <c r="AH4" s="106">
        <v>184527.06</v>
      </c>
      <c r="AI4" s="121">
        <v>1637126</v>
      </c>
      <c r="AJ4" s="111">
        <v>350625</v>
      </c>
      <c r="AK4" s="111">
        <v>111787</v>
      </c>
      <c r="AL4" s="111">
        <v>124320</v>
      </c>
      <c r="AM4" s="111">
        <v>83991.14</v>
      </c>
      <c r="AN4" s="110">
        <v>0</v>
      </c>
      <c r="AO4" s="110">
        <v>0</v>
      </c>
      <c r="AP4" s="110" t="s">
        <v>170</v>
      </c>
      <c r="AQ4" s="105">
        <f>SUM(AG4:AP4)</f>
        <v>2492376.2000000002</v>
      </c>
      <c r="AR4" s="105">
        <f>AQ4-AE4</f>
        <v>0</v>
      </c>
      <c r="AS4" s="104" t="s">
        <v>169</v>
      </c>
      <c r="AT4" s="116" t="s">
        <v>197</v>
      </c>
    </row>
    <row r="5" spans="1:46" x14ac:dyDescent="0.3">
      <c r="A5" s="43" t="s">
        <v>124</v>
      </c>
      <c r="B5" s="43" t="s">
        <v>129</v>
      </c>
      <c r="C5" s="56" t="s">
        <v>130</v>
      </c>
      <c r="D5" s="6" t="s">
        <v>127</v>
      </c>
      <c r="E5" s="6" t="s">
        <v>65</v>
      </c>
      <c r="F5" s="44" t="s">
        <v>131</v>
      </c>
      <c r="G5" s="7">
        <v>44687</v>
      </c>
      <c r="H5" s="7">
        <v>46387</v>
      </c>
      <c r="I5" s="12">
        <v>3267</v>
      </c>
      <c r="J5" s="9">
        <v>55</v>
      </c>
      <c r="K5" s="11">
        <v>30000000</v>
      </c>
      <c r="L5" s="10"/>
      <c r="M5" s="10"/>
      <c r="N5" s="10">
        <f t="shared" si="3"/>
        <v>30000000</v>
      </c>
      <c r="O5" s="10"/>
      <c r="P5" s="10"/>
      <c r="Q5" s="10"/>
      <c r="R5" s="10"/>
      <c r="S5" s="10"/>
      <c r="T5" s="10"/>
      <c r="U5" s="10">
        <f t="shared" si="4"/>
        <v>0</v>
      </c>
      <c r="V5" s="11">
        <f t="shared" si="5"/>
        <v>30000000</v>
      </c>
      <c r="W5" s="10"/>
      <c r="X5" s="10"/>
      <c r="Y5" s="10">
        <v>8455742.5600000005</v>
      </c>
      <c r="Z5" s="10">
        <v>11363038.519999998</v>
      </c>
      <c r="AA5" s="10">
        <v>5323464.9200000009</v>
      </c>
      <c r="AB5" s="10">
        <v>3958163.78</v>
      </c>
      <c r="AC5" s="10"/>
      <c r="AD5" s="10">
        <f t="shared" si="6"/>
        <v>29100409.780000001</v>
      </c>
      <c r="AE5" s="10">
        <f t="shared" si="7"/>
        <v>899590.21999999881</v>
      </c>
      <c r="AF5" s="45">
        <f t="shared" si="8"/>
        <v>0.97001365933333339</v>
      </c>
      <c r="AG5" s="106">
        <v>0</v>
      </c>
      <c r="AH5" s="106">
        <v>387477.73</v>
      </c>
      <c r="AI5" s="121">
        <v>343559.14</v>
      </c>
      <c r="AJ5" s="111">
        <v>138953.84</v>
      </c>
      <c r="AK5" s="111">
        <v>10008.64</v>
      </c>
      <c r="AL5" s="111">
        <v>9757.7900000000009</v>
      </c>
      <c r="AM5" s="111">
        <v>6256.84</v>
      </c>
      <c r="AN5" s="111">
        <v>3576.24</v>
      </c>
      <c r="AO5" s="110" t="s">
        <v>170</v>
      </c>
      <c r="AP5" s="110" t="s">
        <v>170</v>
      </c>
      <c r="AQ5" s="105">
        <f>SUM(AG5:AP5)</f>
        <v>899590.22</v>
      </c>
      <c r="AR5" s="105">
        <f>AQ5-AE5</f>
        <v>1.1641532182693481E-9</v>
      </c>
      <c r="AS5" s="104" t="s">
        <v>169</v>
      </c>
      <c r="AT5" s="104" t="s">
        <v>187</v>
      </c>
    </row>
    <row r="6" spans="1:46" ht="57.6" x14ac:dyDescent="0.3">
      <c r="A6" s="43" t="s">
        <v>124</v>
      </c>
      <c r="B6" s="43" t="s">
        <v>129</v>
      </c>
      <c r="C6" s="54" t="s">
        <v>132</v>
      </c>
      <c r="D6" s="6" t="s">
        <v>127</v>
      </c>
      <c r="E6" s="6" t="s">
        <v>65</v>
      </c>
      <c r="F6" s="44" t="s">
        <v>133</v>
      </c>
      <c r="G6" s="7">
        <v>44854</v>
      </c>
      <c r="H6" s="7">
        <v>46387</v>
      </c>
      <c r="I6" s="12">
        <v>3228</v>
      </c>
      <c r="J6" s="9">
        <v>64</v>
      </c>
      <c r="K6" s="11">
        <v>48510328</v>
      </c>
      <c r="L6" s="10"/>
      <c r="M6" s="10"/>
      <c r="N6" s="10">
        <f t="shared" si="3"/>
        <v>48510328</v>
      </c>
      <c r="O6" s="10"/>
      <c r="P6" s="10"/>
      <c r="Q6" s="10"/>
      <c r="R6" s="10"/>
      <c r="S6" s="10"/>
      <c r="T6" s="10"/>
      <c r="U6" s="10">
        <f t="shared" si="4"/>
        <v>0</v>
      </c>
      <c r="V6" s="11">
        <f t="shared" si="5"/>
        <v>48510328</v>
      </c>
      <c r="W6" s="10"/>
      <c r="X6" s="10"/>
      <c r="Y6" s="10">
        <v>2963017.72</v>
      </c>
      <c r="Z6" s="10">
        <v>6787741.040000001</v>
      </c>
      <c r="AA6" s="10">
        <v>10541855.110000001</v>
      </c>
      <c r="AB6" s="10">
        <v>13551074.369999999</v>
      </c>
      <c r="AC6" s="10"/>
      <c r="AD6" s="10">
        <f t="shared" si="6"/>
        <v>33843688.240000002</v>
      </c>
      <c r="AE6" s="10">
        <f t="shared" si="7"/>
        <v>14666639.759999998</v>
      </c>
      <c r="AF6" s="45">
        <f t="shared" si="8"/>
        <v>0.69765943944967768</v>
      </c>
      <c r="AG6" s="106">
        <v>0</v>
      </c>
      <c r="AH6" s="106">
        <v>508374.82</v>
      </c>
      <c r="AI6" s="121">
        <v>5562588.3600000003</v>
      </c>
      <c r="AJ6" s="111">
        <v>2517341.9</v>
      </c>
      <c r="AK6" s="111">
        <v>2517341.9</v>
      </c>
      <c r="AL6" s="111">
        <v>1517341.9</v>
      </c>
      <c r="AM6" s="111">
        <v>1475709.88</v>
      </c>
      <c r="AN6" s="111">
        <v>317941</v>
      </c>
      <c r="AO6" s="111">
        <v>250000</v>
      </c>
      <c r="AP6" s="110" t="s">
        <v>170</v>
      </c>
      <c r="AQ6" s="105">
        <f t="shared" ref="AQ6" si="9">SUM(AG6:AP6)</f>
        <v>14666639.760000002</v>
      </c>
      <c r="AR6" s="105">
        <f t="shared" ref="AR6" si="10">AQ6-AE6</f>
        <v>0</v>
      </c>
      <c r="AS6" s="104" t="s">
        <v>169</v>
      </c>
      <c r="AT6" s="116" t="s">
        <v>198</v>
      </c>
    </row>
    <row r="7" spans="1:46" x14ac:dyDescent="0.3">
      <c r="A7" s="73"/>
      <c r="B7" s="73"/>
      <c r="C7" s="74"/>
      <c r="D7" s="73"/>
      <c r="E7" s="75"/>
      <c r="F7" s="76"/>
      <c r="G7" s="73"/>
      <c r="H7" s="73"/>
      <c r="I7" s="73"/>
      <c r="J7" s="73"/>
      <c r="K7" s="73"/>
      <c r="L7" s="73"/>
      <c r="M7" s="73"/>
      <c r="N7" s="78">
        <f t="shared" ref="N7:AE7" si="11">SUM(N4:N6)</f>
        <v>91010328</v>
      </c>
      <c r="O7" s="78">
        <f t="shared" si="11"/>
        <v>0</v>
      </c>
      <c r="P7" s="78">
        <f t="shared" si="11"/>
        <v>0</v>
      </c>
      <c r="Q7" s="78">
        <f t="shared" si="11"/>
        <v>0</v>
      </c>
      <c r="R7" s="78">
        <f t="shared" si="11"/>
        <v>0</v>
      </c>
      <c r="S7" s="78">
        <f t="shared" si="11"/>
        <v>0</v>
      </c>
      <c r="T7" s="78">
        <f t="shared" si="11"/>
        <v>0</v>
      </c>
      <c r="U7" s="78">
        <f t="shared" si="11"/>
        <v>0</v>
      </c>
      <c r="V7" s="78">
        <f t="shared" si="11"/>
        <v>91010328</v>
      </c>
      <c r="W7" s="78">
        <f t="shared" si="11"/>
        <v>0</v>
      </c>
      <c r="X7" s="78">
        <f t="shared" si="11"/>
        <v>0</v>
      </c>
      <c r="Y7" s="78">
        <f t="shared" si="11"/>
        <v>11418760.280000001</v>
      </c>
      <c r="Z7" s="78">
        <f t="shared" si="11"/>
        <v>22299776.729999997</v>
      </c>
      <c r="AA7" s="78">
        <f t="shared" si="11"/>
        <v>19829864.850000001</v>
      </c>
      <c r="AB7" s="78">
        <f t="shared" si="11"/>
        <v>19403319.960000001</v>
      </c>
      <c r="AC7" s="78">
        <f t="shared" si="11"/>
        <v>0</v>
      </c>
      <c r="AD7" s="78">
        <f t="shared" si="11"/>
        <v>72951721.819999993</v>
      </c>
      <c r="AE7" s="78">
        <f t="shared" si="11"/>
        <v>18058606.179999996</v>
      </c>
      <c r="AF7" s="77"/>
      <c r="AG7" s="78">
        <f t="shared" ref="AG7:AQ7" si="12">SUM(AG4:AG6)</f>
        <v>0</v>
      </c>
      <c r="AH7" s="78">
        <f t="shared" si="12"/>
        <v>1080379.6100000001</v>
      </c>
      <c r="AI7" s="78">
        <f t="shared" si="12"/>
        <v>7543273.5</v>
      </c>
      <c r="AJ7" s="78">
        <f t="shared" si="12"/>
        <v>3006920.7399999998</v>
      </c>
      <c r="AK7" s="78">
        <f t="shared" si="12"/>
        <v>2639137.54</v>
      </c>
      <c r="AL7" s="78">
        <f t="shared" si="12"/>
        <v>1651419.69</v>
      </c>
      <c r="AM7" s="78">
        <f t="shared" si="12"/>
        <v>1565957.8599999999</v>
      </c>
      <c r="AN7" s="78">
        <f t="shared" si="12"/>
        <v>321517.24</v>
      </c>
      <c r="AO7" s="78">
        <f t="shared" si="12"/>
        <v>250000</v>
      </c>
      <c r="AP7" s="78">
        <f t="shared" si="12"/>
        <v>0</v>
      </c>
      <c r="AQ7" s="78">
        <f t="shared" si="12"/>
        <v>18058606.18</v>
      </c>
      <c r="AR7" s="108">
        <f>SUM(AR4:AR6)</f>
        <v>1.1641532182693481E-9</v>
      </c>
      <c r="AS7" s="73"/>
      <c r="AT7" s="73"/>
    </row>
  </sheetData>
  <mergeCells count="2">
    <mergeCell ref="AD2:AE2"/>
    <mergeCell ref="AG2:AR2"/>
  </mergeCells>
  <hyperlinks>
    <hyperlink ref="C4" location="'407-23ACNVM01'!Print_Area" display="23ACNVM01" xr:uid="{67C8DFD9-0EB2-4F3B-BCC7-26D2C8839762}"/>
    <hyperlink ref="C5" location="'407-23CHDIF01'!Print_Area" display="23CHDIF01" xr:uid="{0C35D0EF-2B28-4882-93C6-9639C8A87E1A}"/>
    <hyperlink ref="C6" location="'407-23NOMAD01'!Print_Area" display="23NOMAD01" xr:uid="{79F83006-479C-49E6-9ADA-89E60136F19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8576EBB607CC43A876918692A4B9F3" ma:contentTypeVersion="11" ma:contentTypeDescription="Create a new document." ma:contentTypeScope="" ma:versionID="0330f403bda908e03c402a178af07dbf">
  <xsd:schema xmlns:xsd="http://www.w3.org/2001/XMLSchema" xmlns:xs="http://www.w3.org/2001/XMLSchema" xmlns:p="http://schemas.microsoft.com/office/2006/metadata/properties" xmlns:ns2="46c48e1f-232e-4cdf-bc27-113ca8dd4fab" xmlns:ns3="01421d98-f01e-45d0-b4cb-573a15f839af" targetNamespace="http://schemas.microsoft.com/office/2006/metadata/properties" ma:root="true" ma:fieldsID="9b55d38d7f86868b9ad07beda89534cb" ns2:_="" ns3:_="">
    <xsd:import namespace="46c48e1f-232e-4cdf-bc27-113ca8dd4fab"/>
    <xsd:import namespace="01421d98-f01e-45d0-b4cb-573a15f839a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48e1f-232e-4cdf-bc27-113ca8dd4f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421d98-f01e-45d0-b4cb-573a15f839a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A75D49-0976-41AE-9157-B8B88B94BC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48e1f-232e-4cdf-bc27-113ca8dd4fab"/>
    <ds:schemaRef ds:uri="01421d98-f01e-45d0-b4cb-573a15f83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215288-782B-4F15-A943-EC79868523BD}">
  <ds:schemaRefs>
    <ds:schemaRef ds:uri="http://schemas.microsoft.com/sharepoint/v3/contenttype/forms"/>
  </ds:schemaRefs>
</ds:datastoreItem>
</file>

<file path=customXml/itemProps3.xml><?xml version="1.0" encoding="utf-8"?>
<ds:datastoreItem xmlns:ds="http://schemas.openxmlformats.org/officeDocument/2006/customXml" ds:itemID="{D9EF856E-2BC0-485A-B5A5-2B83A586AB9A}">
  <ds:schemaRefs>
    <ds:schemaRef ds:uri="http://purl.org/dc/dcmitype/"/>
    <ds:schemaRef ds:uri="http://www.w3.org/XML/1998/namespace"/>
    <ds:schemaRef ds:uri="http://schemas.openxmlformats.org/package/2006/metadata/core-properties"/>
    <ds:schemaRef ds:uri="46c48e1f-232e-4cdf-bc27-113ca8dd4fab"/>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01421d98-f01e-45d0-b4cb-573a15f839a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PROJECTS (Active)</vt:lpstr>
      <vt:lpstr>DHHS-DO</vt:lpstr>
      <vt:lpstr>ADSD</vt:lpstr>
      <vt:lpstr>DCFS</vt:lpstr>
      <vt:lpstr>DPBH</vt:lpstr>
      <vt:lpstr>DSS</vt:lpstr>
      <vt:lpstr>'PROJECTS (Active)'!Print_Area</vt:lpstr>
      <vt:lpstr>'PROJECTS (Active)'!Print_Titles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Danette M. Kluever</dc:creator>
  <cp:keywords/>
  <dc:description/>
  <cp:lastModifiedBy>Sophia Allec</cp:lastModifiedBy>
  <cp:revision/>
  <dcterms:created xsi:type="dcterms:W3CDTF">2026-01-15T23:52:55Z</dcterms:created>
  <dcterms:modified xsi:type="dcterms:W3CDTF">2026-06-03T23:36:32Z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0x010100AD8576EBB607CC43A876918692A4B9F3</vt:lpwstr>
  </property>
</Properties>
</file>