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v.sharepoint.com/sites/DPBHDepartment-WideStandardization/Shared Documents/General/ARPA Reporting/IFC ARPA Reporting/Feb 2026/"/>
    </mc:Choice>
  </mc:AlternateContent>
  <xr:revisionPtr revIDLastSave="99" documentId="8_{D23FB995-0532-4062-88FA-366C0CC8ABEF}" xr6:coauthVersionLast="47" xr6:coauthVersionMax="47" xr10:uidLastSave="{47AC8D2E-E880-42CC-9540-A6EB88A1872F}"/>
  <bookViews>
    <workbookView xWindow="-120" yWindow="-120" windowWidth="29040" windowHeight="15720" activeTab="3" xr2:uid="{A35D1807-9E42-4E40-8E94-32CCA3CDDFC5}"/>
  </bookViews>
  <sheets>
    <sheet name="ARPA Projects " sheetId="1" r:id="rId1"/>
    <sheet name="ADSD" sheetId="2" r:id="rId2"/>
    <sheet name="DO" sheetId="3" r:id="rId3"/>
    <sheet name="DPBH" sheetId="5" r:id="rId4"/>
    <sheet name="DSS-DWSS" sheetId="6" r:id="rId5"/>
    <sheet name="DCFS" sheetId="7" r:id="rId6"/>
  </sheets>
  <definedNames>
    <definedName name="_1__123Graph_ACHART_1" localSheetId="0" hidden="1">#REF!</definedName>
    <definedName name="_xlnm._FilterDatabase" localSheetId="1" hidden="1">ADSD!$A$1:$AY$12</definedName>
    <definedName name="_xlnm._FilterDatabase" localSheetId="0" hidden="1">'ARPA Projects '!$A$3:$AY$51</definedName>
    <definedName name="_xlnm._FilterDatabase" localSheetId="5" hidden="1">DCFS!$A$1:$AY$19</definedName>
    <definedName name="_Key1" localSheetId="0" hidden="1">#REF!</definedName>
    <definedName name="_Sort" hidden="1">#REF!</definedName>
    <definedName name="a" localSheetId="0" hidden="1">{"E375(1)-00",#N/A,FALSE,"E1";"E375(1)-01",#N/A,FALSE,"E1";"E375(1)-03",#N/A,FALSE,"E1";"E375(1)-04",#N/A,FALSE,"E1";"E375(1)-05",#N/A,FALSE,"E1";"E375(1)-07",#N/A,FALSE,"E1";"E375(1)-26",#N/A,FALSE,"E1";"E375(1)-30",#N/A,FALSE,"E1";"E375(1)-59",#N/A,FALSE,"E1";"E375(1)-88",#N/A,FALSE,"E1";"E375(1)-89",#N/A,FALSE,"E1";"375(1)-TOTEXP",#N/A,FALSE,"E1";"E125(1)-00",#N/A,FALSE,"E2";"E125(1)-01",#N/A,FALSE,"E2";"E125(1)-04",#N/A,FALSE,"E2";"E275-00",#N/A,FALSE,"E3";"E275-04",#N/A,FALSE,"E3";"E375(2)-00",#N/A,FALSE,"E4";"E375(3)-03",#N/A,FALSE,"E4";"E375(3)-04",#N/A,FALSE,"E4";"E375(3)-00",#N/A,FALSE,"E4";"E375(3)-03",#N/A,FALSE,"E5";"E375(3)-04",#N/A,FALSE,"E5";"E375(3)-05",#N/A,FALSE,"E5";"E375(4)-00",#N/A,FALSE,"E6";"E375(4)-07",#N/A,FALSE,"E6";"E175-00",#N/A,FALSE,"E7";"E175-30",#N/A,FALSE,"E7";"E125(2)-00",#N/A,FALSE,"E8";"E125(2)-01",#N/A,FALSE,"E8";"E125(2)-04",#N/A,FALSE,"E8";"E125(2)-05",#N/A,FALSE,"E8";"E125(2)-07",#N/A,FALSE,"E8";"E125(2)-26",#N/A,FALSE,"E8";"E125(2)-30",#N/A,FALSE,"E8";"E250-00",#N/A,FALSE,"E9";"E250-04",#N/A,FALSE,"E9";"E710-00",#N/A,FALSE,"E10";"E710-04",#N/A,FALSE,"E10";"E710-05",#N/A,FALSE,"E10";"E720-00",#N/A,FALSE,"E11";"E720-05",#N/A,FALSE,"E11";"E125(3)-00",#N/A,FALSE,"E12";"E125(3)-04",#N/A,FALSE,"E12"}</definedName>
    <definedName name="b" localSheetId="0" hidden="1">{"PROGSTMT",#N/A,FALSE,"PROGSTMT"}</definedName>
    <definedName name="C25076CC" localSheetId="0" hidden="1">{"E375(1)-00",#N/A,FALSE,"E1";"E375(1)-01",#N/A,FALSE,"E1";"E375(1)-03",#N/A,FALSE,"E1";"E375(1)-04",#N/A,FALSE,"E1";"E375(1)-05",#N/A,FALSE,"E1";"E375(1)-07",#N/A,FALSE,"E1";"E375(1)-26",#N/A,FALSE,"E1";"E375(1)-30",#N/A,FALSE,"E1";"E375(1)-59",#N/A,FALSE,"E1";"E375(1)-88",#N/A,FALSE,"E1";"E375(1)-89",#N/A,FALSE,"E1";"375(1)-TOTEXP",#N/A,FALSE,"E1";"E125(1)-00",#N/A,FALSE,"E2";"E125(1)-01",#N/A,FALSE,"E2";"E125(1)-04",#N/A,FALSE,"E2";"E275-00",#N/A,FALSE,"E3";"E275-04",#N/A,FALSE,"E3";"E375(2)-00",#N/A,FALSE,"E4";"E375(3)-03",#N/A,FALSE,"E4";"E375(3)-04",#N/A,FALSE,"E4";"E375(3)-00",#N/A,FALSE,"E4";"E375(3)-03",#N/A,FALSE,"E5";"E375(3)-04",#N/A,FALSE,"E5";"E375(3)-05",#N/A,FALSE,"E5";"E375(4)-00",#N/A,FALSE,"E6";"E375(4)-07",#N/A,FALSE,"E6";"E175-00",#N/A,FALSE,"E7";"E175-30",#N/A,FALSE,"E7";"E125(2)-00",#N/A,FALSE,"E8";"E125(2)-01",#N/A,FALSE,"E8";"E125(2)-04",#N/A,FALSE,"E8";"E125(2)-05",#N/A,FALSE,"E8";"E125(2)-07",#N/A,FALSE,"E8";"E125(2)-26",#N/A,FALSE,"E8";"E125(2)-30",#N/A,FALSE,"E8";"E250-00",#N/A,FALSE,"E9";"E250-04",#N/A,FALSE,"E9";"E710-00",#N/A,FALSE,"E10";"E710-04",#N/A,FALSE,"E10";"E710-05",#N/A,FALSE,"E10";"E720-00",#N/A,FALSE,"E11";"E720-05",#N/A,FALSE,"E11";"E125(3)-00",#N/A,FALSE,"E12";"E125(3)-04",#N/A,FALSE,"E12"}</definedName>
    <definedName name="cat13base"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donna"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donna1"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June"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long3" localSheetId="0" hidden="1">{"E375(1)-00",#N/A,FALSE,"E1";"E375(1)-01",#N/A,FALSE,"E1";"E375(1)-03",#N/A,FALSE,"E1";"E375(1)-04",#N/A,FALSE,"E1";"E375(1)-05",#N/A,FALSE,"E1";"E375(1)-07",#N/A,FALSE,"E1";"E375(1)-26",#N/A,FALSE,"E1";"E375(1)-30",#N/A,FALSE,"E1";"E375(1)-59",#N/A,FALSE,"E1";"E375(1)-88",#N/A,FALSE,"E1";"E375(1)-89",#N/A,FALSE,"E1";"375(1)-TOTEXP",#N/A,FALSE,"E1";"E125(1)-00",#N/A,FALSE,"E2";"E125(1)-01",#N/A,FALSE,"E2";"E125(1)-04",#N/A,FALSE,"E2";"E275-00",#N/A,FALSE,"E3";"E275-04",#N/A,FALSE,"E3";"E375(2)-00",#N/A,FALSE,"E4";"E375(3)-03",#N/A,FALSE,"E4";"E375(3)-04",#N/A,FALSE,"E4";"E375(3)-00",#N/A,FALSE,"E4";"E375(3)-03",#N/A,FALSE,"E5";"E375(3)-04",#N/A,FALSE,"E5";"E375(3)-05",#N/A,FALSE,"E5";"E375(4)-00",#N/A,FALSE,"E6";"E375(4)-07",#N/A,FALSE,"E6";"E175-00",#N/A,FALSE,"E7";"E175-30",#N/A,FALSE,"E7";"E125(2)-00",#N/A,FALSE,"E8";"E125(2)-01",#N/A,FALSE,"E8";"E125(2)-04",#N/A,FALSE,"E8";"E125(2)-05",#N/A,FALSE,"E8";"E125(2)-07",#N/A,FALSE,"E8";"E125(2)-26",#N/A,FALSE,"E8";"E125(2)-30",#N/A,FALSE,"E8";"E250-00",#N/A,FALSE,"E9";"E250-04",#N/A,FALSE,"E9";"E710-00",#N/A,FALSE,"E10";"E710-04",#N/A,FALSE,"E10";"E710-05",#N/A,FALSE,"E10";"E720-00",#N/A,FALSE,"E11";"E720-05",#N/A,FALSE,"E11";"E125(3)-00",#N/A,FALSE,"E12";"E125(3)-04",#N/A,FALSE,"E12"}</definedName>
    <definedName name="long4" localSheetId="0" hidden="1">{"E375(1)-00",#N/A,FALSE,"E1";"E375(1)-01",#N/A,FALSE,"E1";"E375(1)-03",#N/A,FALSE,"E1";"E375(1)-04",#N/A,FALSE,"E1";"E375(1)-05",#N/A,FALSE,"E1";"E375(1)-07",#N/A,FALSE,"E1";"E375(1)-26",#N/A,FALSE,"E1";"E375(1)-30",#N/A,FALSE,"E1";"E375(1)-59",#N/A,FALSE,"E1";"E375(1)-88",#N/A,FALSE,"E1";"E375(1)-89",#N/A,FALSE,"E1";"375(1)-TOTEXP",#N/A,FALSE,"E1";"E125(1)-00",#N/A,FALSE,"E2";"E125(1)-01",#N/A,FALSE,"E2";"E125(1)-04",#N/A,FALSE,"E2";"E275-00",#N/A,FALSE,"E3";"E275-04",#N/A,FALSE,"E3";"E375(2)-00",#N/A,FALSE,"E4";"E375(3)-03",#N/A,FALSE,"E4";"E375(3)-04",#N/A,FALSE,"E4";"E375(3)-00",#N/A,FALSE,"E4";"E375(3)-03",#N/A,FALSE,"E5";"E375(3)-04",#N/A,FALSE,"E5";"E375(3)-05",#N/A,FALSE,"E5";"E375(4)-00",#N/A,FALSE,"E6";"E375(4)-07",#N/A,FALSE,"E6";"E175-00",#N/A,FALSE,"E7";"E175-30",#N/A,FALSE,"E7";"E125(2)-00",#N/A,FALSE,"E8";"E125(2)-01",#N/A,FALSE,"E8";"E125(2)-04",#N/A,FALSE,"E8";"E125(2)-05",#N/A,FALSE,"E8";"E125(2)-07",#N/A,FALSE,"E8";"E125(2)-26",#N/A,FALSE,"E8";"E125(2)-30",#N/A,FALSE,"E8";"E250-00",#N/A,FALSE,"E9";"E250-04",#N/A,FALSE,"E9";"E710-00",#N/A,FALSE,"E10";"E710-04",#N/A,FALSE,"E10";"E710-05",#N/A,FALSE,"E10";"E720-00",#N/A,FALSE,"E11";"E720-05",#N/A,FALSE,"E11";"E125(3)-00",#N/A,FALSE,"E12";"E125(3)-04",#N/A,FALSE,"E12"}</definedName>
    <definedName name="MARTY"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narrative" localSheetId="0" hidden="1">{"PROGSTMT",#N/A,FALSE,"PROGSTMT"}</definedName>
    <definedName name="new"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_xlnm.Print_Area" localSheetId="0">'ARPA Projects '!$A$4:$AF$51</definedName>
    <definedName name="_xlnm.Print_Titles" localSheetId="0">'ARPA Projects '!$3:$3</definedName>
    <definedName name="refMarty"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refscott3"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refspelts100"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refspelts12"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reftest"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reftest1"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cott"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cott2"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cott3"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pelts1"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10"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100"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11"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pelts12"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pelts2"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pelts3"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4"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5"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pelts6"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7"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spelts8"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spelts9"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terri"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test"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test1"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th"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wrn.BASE." localSheetId="0" hidden="1">{"BASE 00 REVENUE",#N/A,FALSE,"BASE";"B01",#N/A,FALSE,"BASE";"B03",#N/A,FALSE,"BASE";"B04",#N/A,FALSE,"BASE";"B05",#N/A,FALSE,"BASE";"B08",#N/A,FALSE,"BASE";"B07",#N/A,FALSE,"BASE";"B16",#N/A,FALSE,"BASE";"B17",#N/A,FALSE,"BASE";"B18",#N/A,FALSE,"BASE";"B19",#N/A,FALSE,"BASE";"B20",#N/A,FALSE,"BASE";"B26",#N/A,FALSE,"BASE";"B30",#N/A,FALSE,"BASE";"36",#N/A,FALSE,"BASE";"B40",#N/A,FALSE,"BASE";"B59",#N/A,FALSE,"BASE";"B88",#N/A,FALSE,"BASE";"B89",#N/A,FALSE,"BASE";"BTOTAL",#N/A,FALSE,"BASE"}</definedName>
    <definedName name="wrn.BASE._.SECTION." localSheetId="0" hidden="1">{"BASE 00 REVENUE",#N/A,FALSE,"BASE";"B01",#N/A,FALSE,"BASE";"B02",#N/A,FALSE,"BASE";"B03",#N/A,FALSE,"BASE";"B04",#N/A,FALSE,"BASE";"B05",#N/A,FALSE,"BASE";"B07",#N/A,FALSE,"BASE";"B08",#N/A,FALSE,"BASE";"B10",#N/A,FALSE,"BASE";"B11",#N/A,FALSE,"BASE";"B16",#N/A,FALSE,"BASE";"B17",#N/A,FALSE,"BASE";"B20",#N/A,FALSE,"BASE";"B21",#N/A,FALSE,"BASE";"B22",#N/A,FALSE,"BASE";"B23",#N/A,FALSE,"BASE";"B25",#N/A,FALSE,"BASE";"B26",#N/A,FALSE,"BASE";"B30",#N/A,FALSE,"BASE";"B37",#N/A,FALSE,"BASE";"B43",#N/A,FALSE,"BASE";"B59",#N/A,FALSE,"BASE";"B88",#N/A,FALSE,"BASE";"B89",#N/A,FALSE,"BASE";"BTOTAL",#N/A,FALSE,"BASE"}</definedName>
    <definedName name="wrn.Cash._.Analysis." localSheetId="0" hidden="1">{#N/A,#N/A,TRUE," Category 12, 14, 15";#N/A,#N/A,TRUE,"SFY 00";#N/A,#N/A,TRUE,"SFY 01";#N/A,#N/A,TRUE,"SFY 02";#N/A,#N/A,TRUE,"SFY 03"}</definedName>
    <definedName name="wrn.ENHANCEMENTS." localSheetId="0" hidden="1">{"E375(1)-00",#N/A,FALSE,"E1";"E375(1)-01",#N/A,FALSE,"E1";"E375(1)-03",#N/A,FALSE,"E1";"E375(1)-04",#N/A,FALSE,"E1";"E375(1)-05",#N/A,FALSE,"E1";"E375(1)-07",#N/A,FALSE,"E1";"E375(1)-26",#N/A,FALSE,"E1";"E375(1)-30",#N/A,FALSE,"E1";"E375(1)-59",#N/A,FALSE,"E1";"E375(1)-88",#N/A,FALSE,"E1";"E375(1)-89",#N/A,FALSE,"E1";"375(1)-TOTEXP",#N/A,FALSE,"E1";"E125(1)-00",#N/A,FALSE,"E2";"E125(1)-01",#N/A,FALSE,"E2";"E125(1)-04",#N/A,FALSE,"E2";"E275-00",#N/A,FALSE,"E3";"E275-04",#N/A,FALSE,"E3";"E375(2)-00",#N/A,FALSE,"E4";"E375(3)-03",#N/A,FALSE,"E4";"E375(3)-04",#N/A,FALSE,"E4";"E375(3)-00",#N/A,FALSE,"E4";"E375(3)-03",#N/A,FALSE,"E5";"E375(3)-04",#N/A,FALSE,"E5";"E375(3)-05",#N/A,FALSE,"E5";"E375(4)-00",#N/A,FALSE,"E6";"E375(4)-07",#N/A,FALSE,"E6";"E175-00",#N/A,FALSE,"E7";"E175-30",#N/A,FALSE,"E7";"E125(2)-00",#N/A,FALSE,"E8";"E125(2)-01",#N/A,FALSE,"E8";"E125(2)-04",#N/A,FALSE,"E8";"E125(2)-05",#N/A,FALSE,"E8";"E125(2)-07",#N/A,FALSE,"E8";"E125(2)-26",#N/A,FALSE,"E8";"E125(2)-30",#N/A,FALSE,"E8";"E250-00",#N/A,FALSE,"E9";"E250-04",#N/A,FALSE,"E9";"E710-00",#N/A,FALSE,"E10";"E710-04",#N/A,FALSE,"E10";"E710-05",#N/A,FALSE,"E10";"E720-00",#N/A,FALSE,"E11";"E720-05",#N/A,FALSE,"E11";"E125(3)-00",#N/A,FALSE,"E12";"E125(3)-04",#N/A,FALSE,"E12"}</definedName>
    <definedName name="wrn.FUND._.MAP." localSheetId="0" hidden="1">{"MAP LA2000",#N/A,FALSE,"3645 FUND MAP";"MAP LA2001",#N/A,FALSE,"3645 FUND MAP"}</definedName>
    <definedName name="wrn.long" localSheetId="0" hidden="1">{"M100-00",#N/A,FALSE,"M100";"M100-04",#N/A,FALSE,"M100";"M100-59",#N/A,FALSE,"M100";"M100-TOTAL",#N/A,FALSE,"M100";"M200-00",#N/A,FALSE,"M200";"M200-01",#N/A,FALSE,"M200";"M200-03",#N/A,FALSE,"M200";"M200-04",#N/A,FALSE,"M200";"M200-05",#N/A,FALSE,"M200";"M200-07",#N/A,FALSE,"M200";"M200-26",#N/A,FALSE,"M200";"M200-59",#N/A,FALSE,"M200";"M200-30",#N/A,FALSE,"M200";"M200-88",#N/A,FALSE,"M200";"M200-89",#N/A,FALSE,"M200";"M200-TOTAL",#N/A,FALSE,"M200"}</definedName>
    <definedName name="wrn.MAINT." localSheetId="0" hidden="1">{"M100-00",#N/A,FALSE,"M100";"M100-04",#N/A,FALSE,"M100";"M100-59",#N/A,FALSE,"M100";"M100-TOTAL",#N/A,FALSE,"M100";"M200-00",#N/A,FALSE,"M200";"M200-01",#N/A,FALSE,"M200";"M200-03",#N/A,FALSE,"M200";"M200-04",#N/A,FALSE,"M200";"M200-05",#N/A,FALSE,"M200";"M200-07",#N/A,FALSE,"M200";"M200-26",#N/A,FALSE,"M200";"M200-59",#N/A,FALSE,"M200";"M200-30",#N/A,FALSE,"M200";"M200-88",#N/A,FALSE,"M200";"M200-89",#N/A,FALSE,"M200";"M200-TOTAL",#N/A,FALSE,"M200"}</definedName>
    <definedName name="wrn.mainta." localSheetId="0" hidden="1">{"M100-00",#N/A,FALSE,"M100";"M100-04",#N/A,FALSE,"M100";"M100-59",#N/A,FALSE,"M100";"M100-TOTAL",#N/A,FALSE,"M100";"M200-00",#N/A,FALSE,"M200";"M200-01",#N/A,FALSE,"M200";"M200-03",#N/A,FALSE,"M200";"M200-04",#N/A,FALSE,"M200";"M200-05",#N/A,FALSE,"M200";"M200-07",#N/A,FALSE,"M200";"M200-26",#N/A,FALSE,"M200";"M200-59",#N/A,FALSE,"M200";"M200-30",#N/A,FALSE,"M200";"M200-88",#N/A,FALSE,"M200";"M200-89",#N/A,FALSE,"M200";"M200-TOTAL",#N/A,FALSE,"M200"}</definedName>
    <definedName name="wrn.NARRATIVE._.PROGRAM._.DESCRIPTION." localSheetId="0" hidden="1">{"PROGSTMT",#N/A,FALSE,"PROGSTMT"}</definedName>
    <definedName name="wrn.Operating._.Statement." localSheetId="0" hidden="1">{"Surplus",#N/A,TRUE,"Surplus";"12ths",#N/A,TRUE,"12ths";"Main Statement",#N/A,TRUE,"Main Statement"}</definedName>
    <definedName name="wrn.PROGSTMT." localSheetId="0" hidden="1">{"PROGSTMT",#N/A,FALSE,"PROGSTMT"}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18" i="5" l="1"/>
  <c r="M18" i="5"/>
  <c r="L13" i="5"/>
  <c r="L5" i="5"/>
  <c r="R17" i="5"/>
  <c r="P51" i="1"/>
  <c r="Q51" i="1"/>
  <c r="R51" i="1"/>
  <c r="S51" i="1"/>
  <c r="T51" i="1"/>
  <c r="U51" i="1"/>
  <c r="X51" i="1"/>
  <c r="Y51" i="1"/>
  <c r="Z51" i="1"/>
  <c r="AA51" i="1"/>
  <c r="AB51" i="1"/>
  <c r="AC51" i="1"/>
  <c r="AD51" i="1"/>
  <c r="AY36" i="1" l="1"/>
  <c r="AY37" i="1"/>
  <c r="AY38" i="1"/>
  <c r="AY39" i="1"/>
  <c r="AY40" i="1"/>
  <c r="AY41" i="1"/>
  <c r="AY42" i="1"/>
  <c r="AY43" i="1"/>
  <c r="AY44" i="1"/>
  <c r="AY45" i="1"/>
  <c r="AY46" i="1"/>
  <c r="AY47" i="1"/>
  <c r="AY48" i="1"/>
  <c r="AY49" i="1"/>
  <c r="AY50" i="1"/>
  <c r="AX37" i="1"/>
  <c r="AX38" i="1"/>
  <c r="AX39" i="1"/>
  <c r="AX40" i="1"/>
  <c r="AX41" i="1"/>
  <c r="AX42" i="1"/>
  <c r="AX43" i="1"/>
  <c r="AX44" i="1"/>
  <c r="AX45" i="1"/>
  <c r="AX46" i="1"/>
  <c r="AX47" i="1"/>
  <c r="AX48" i="1"/>
  <c r="AX49" i="1"/>
  <c r="AX50" i="1"/>
  <c r="AX36" i="1"/>
  <c r="AI36" i="1"/>
  <c r="AJ36" i="1"/>
  <c r="AK36" i="1"/>
  <c r="AL36" i="1"/>
  <c r="AM36" i="1"/>
  <c r="AN36" i="1"/>
  <c r="AO36" i="1"/>
  <c r="AP36" i="1"/>
  <c r="AQ36" i="1"/>
  <c r="AR36" i="1"/>
  <c r="AS36" i="1"/>
  <c r="AT36" i="1"/>
  <c r="AU36" i="1"/>
  <c r="AI37" i="1"/>
  <c r="AJ37" i="1"/>
  <c r="AK37" i="1"/>
  <c r="AL37" i="1"/>
  <c r="AM37" i="1"/>
  <c r="AN37" i="1"/>
  <c r="AO37" i="1"/>
  <c r="AP37" i="1"/>
  <c r="AQ37" i="1"/>
  <c r="AR37" i="1"/>
  <c r="AS37" i="1"/>
  <c r="AT37" i="1"/>
  <c r="AU37" i="1"/>
  <c r="AI38" i="1"/>
  <c r="AJ38" i="1"/>
  <c r="AK38" i="1"/>
  <c r="AL38" i="1"/>
  <c r="AM38" i="1"/>
  <c r="AN38" i="1"/>
  <c r="AO38" i="1"/>
  <c r="AP38" i="1"/>
  <c r="AQ38" i="1"/>
  <c r="AR38" i="1"/>
  <c r="AS38" i="1"/>
  <c r="AT38" i="1"/>
  <c r="AU38" i="1"/>
  <c r="AI39" i="1"/>
  <c r="AJ39" i="1"/>
  <c r="AK39" i="1"/>
  <c r="AL39" i="1"/>
  <c r="AM39" i="1"/>
  <c r="AN39" i="1"/>
  <c r="AO39" i="1"/>
  <c r="AP39" i="1"/>
  <c r="AQ39" i="1"/>
  <c r="AR39" i="1"/>
  <c r="AS39" i="1"/>
  <c r="AT39" i="1"/>
  <c r="AU39" i="1"/>
  <c r="AI40" i="1"/>
  <c r="AJ40" i="1"/>
  <c r="AK40" i="1"/>
  <c r="AL40" i="1"/>
  <c r="AM40" i="1"/>
  <c r="AN40" i="1"/>
  <c r="AO40" i="1"/>
  <c r="AP40" i="1"/>
  <c r="AQ40" i="1"/>
  <c r="AR40" i="1"/>
  <c r="AS40" i="1"/>
  <c r="AT40" i="1"/>
  <c r="AU40" i="1"/>
  <c r="AI41" i="1"/>
  <c r="AJ41" i="1"/>
  <c r="AK41" i="1"/>
  <c r="AL41" i="1"/>
  <c r="AM41" i="1"/>
  <c r="AN41" i="1"/>
  <c r="AO41" i="1"/>
  <c r="AP41" i="1"/>
  <c r="AQ41" i="1"/>
  <c r="AR41" i="1"/>
  <c r="AS41" i="1"/>
  <c r="AT41" i="1"/>
  <c r="AU41" i="1"/>
  <c r="AI42" i="1"/>
  <c r="AJ42" i="1"/>
  <c r="AK42" i="1"/>
  <c r="AL42" i="1"/>
  <c r="AM42" i="1"/>
  <c r="AN42" i="1"/>
  <c r="AO42" i="1"/>
  <c r="AP42" i="1"/>
  <c r="AQ42" i="1"/>
  <c r="AR42" i="1"/>
  <c r="AS42" i="1"/>
  <c r="AT42" i="1"/>
  <c r="AU42" i="1"/>
  <c r="AI43" i="1"/>
  <c r="AJ43" i="1"/>
  <c r="AK43" i="1"/>
  <c r="AL43" i="1"/>
  <c r="AM43" i="1"/>
  <c r="AN43" i="1"/>
  <c r="AO43" i="1"/>
  <c r="AP43" i="1"/>
  <c r="AQ43" i="1"/>
  <c r="AR43" i="1"/>
  <c r="AS43" i="1"/>
  <c r="AT43" i="1"/>
  <c r="AU43" i="1"/>
  <c r="AI44" i="1"/>
  <c r="AJ44" i="1"/>
  <c r="AK44" i="1"/>
  <c r="AL44" i="1"/>
  <c r="AM44" i="1"/>
  <c r="AN44" i="1"/>
  <c r="AO44" i="1"/>
  <c r="AP44" i="1"/>
  <c r="AQ44" i="1"/>
  <c r="AR44" i="1"/>
  <c r="AS44" i="1"/>
  <c r="AT44" i="1"/>
  <c r="AU44" i="1"/>
  <c r="AI45" i="1"/>
  <c r="AJ45" i="1"/>
  <c r="AK45" i="1"/>
  <c r="AL45" i="1"/>
  <c r="AM45" i="1"/>
  <c r="AN45" i="1"/>
  <c r="AO45" i="1"/>
  <c r="AP45" i="1"/>
  <c r="AQ45" i="1"/>
  <c r="AR45" i="1"/>
  <c r="AS45" i="1"/>
  <c r="AT45" i="1"/>
  <c r="AU45" i="1"/>
  <c r="AI46" i="1"/>
  <c r="AJ46" i="1"/>
  <c r="AK46" i="1"/>
  <c r="AL46" i="1"/>
  <c r="AM46" i="1"/>
  <c r="AN46" i="1"/>
  <c r="AO46" i="1"/>
  <c r="AP46" i="1"/>
  <c r="AQ46" i="1"/>
  <c r="AR46" i="1"/>
  <c r="AS46" i="1"/>
  <c r="AT46" i="1"/>
  <c r="AU46" i="1"/>
  <c r="AI47" i="1"/>
  <c r="AJ47" i="1"/>
  <c r="AK47" i="1"/>
  <c r="AL47" i="1"/>
  <c r="AM47" i="1"/>
  <c r="AN47" i="1"/>
  <c r="AO47" i="1"/>
  <c r="AP47" i="1"/>
  <c r="AQ47" i="1"/>
  <c r="AR47" i="1"/>
  <c r="AS47" i="1"/>
  <c r="AT47" i="1"/>
  <c r="AU47" i="1"/>
  <c r="AI48" i="1"/>
  <c r="AJ48" i="1"/>
  <c r="AK48" i="1"/>
  <c r="AL48" i="1"/>
  <c r="AM48" i="1"/>
  <c r="AN48" i="1"/>
  <c r="AO48" i="1"/>
  <c r="AP48" i="1"/>
  <c r="AQ48" i="1"/>
  <c r="AR48" i="1"/>
  <c r="AS48" i="1"/>
  <c r="AT48" i="1"/>
  <c r="AU48" i="1"/>
  <c r="AI49" i="1"/>
  <c r="AJ49" i="1"/>
  <c r="AK49" i="1"/>
  <c r="AL49" i="1"/>
  <c r="AM49" i="1"/>
  <c r="AN49" i="1"/>
  <c r="AO49" i="1"/>
  <c r="AP49" i="1"/>
  <c r="AQ49" i="1"/>
  <c r="AR49" i="1"/>
  <c r="AS49" i="1"/>
  <c r="AT49" i="1"/>
  <c r="AU49" i="1"/>
  <c r="AI50" i="1"/>
  <c r="AJ50" i="1"/>
  <c r="AK50" i="1"/>
  <c r="AL50" i="1"/>
  <c r="AM50" i="1"/>
  <c r="AN50" i="1"/>
  <c r="AO50" i="1"/>
  <c r="AP50" i="1"/>
  <c r="AQ50" i="1"/>
  <c r="AR50" i="1"/>
  <c r="AS50" i="1"/>
  <c r="AT50" i="1"/>
  <c r="AU50" i="1"/>
  <c r="AH37" i="1"/>
  <c r="AH38" i="1"/>
  <c r="AH39" i="1"/>
  <c r="AH40" i="1"/>
  <c r="AH41" i="1"/>
  <c r="AH42" i="1"/>
  <c r="AH43" i="1"/>
  <c r="AH44" i="1"/>
  <c r="AH45" i="1"/>
  <c r="AH46" i="1"/>
  <c r="AH47" i="1"/>
  <c r="AH48" i="1"/>
  <c r="AH49" i="1"/>
  <c r="AH50" i="1"/>
  <c r="AH36" i="1"/>
  <c r="AX33" i="1"/>
  <c r="AY33" i="1"/>
  <c r="AX34" i="1"/>
  <c r="AY34" i="1"/>
  <c r="AX35" i="1"/>
  <c r="AY35" i="1"/>
  <c r="AY32" i="1"/>
  <c r="AX32" i="1"/>
  <c r="AI32" i="1"/>
  <c r="AJ32" i="1"/>
  <c r="AK32" i="1"/>
  <c r="AL32" i="1"/>
  <c r="AM32" i="1"/>
  <c r="AN32" i="1"/>
  <c r="AO32" i="1"/>
  <c r="AP32" i="1"/>
  <c r="AQ32" i="1"/>
  <c r="AR32" i="1"/>
  <c r="AS32" i="1"/>
  <c r="AT32" i="1"/>
  <c r="AU32" i="1"/>
  <c r="AI33" i="1"/>
  <c r="AJ33" i="1"/>
  <c r="AK33" i="1"/>
  <c r="AL33" i="1"/>
  <c r="AM33" i="1"/>
  <c r="AN33" i="1"/>
  <c r="AO33" i="1"/>
  <c r="AP33" i="1"/>
  <c r="AQ33" i="1"/>
  <c r="AR33" i="1"/>
  <c r="AS33" i="1"/>
  <c r="AT33" i="1"/>
  <c r="AU33" i="1"/>
  <c r="AI34" i="1"/>
  <c r="AJ34" i="1"/>
  <c r="AK34" i="1"/>
  <c r="AL34" i="1"/>
  <c r="AM34" i="1"/>
  <c r="AN34" i="1"/>
  <c r="AO34" i="1"/>
  <c r="AP34" i="1"/>
  <c r="AQ34" i="1"/>
  <c r="AR34" i="1"/>
  <c r="AS34" i="1"/>
  <c r="AT34" i="1"/>
  <c r="AU34" i="1"/>
  <c r="AI35" i="1"/>
  <c r="AJ35" i="1"/>
  <c r="AK35" i="1"/>
  <c r="AL35" i="1"/>
  <c r="AM35" i="1"/>
  <c r="AN35" i="1"/>
  <c r="AO35" i="1"/>
  <c r="AP35" i="1"/>
  <c r="AQ35" i="1"/>
  <c r="AR35" i="1"/>
  <c r="AS35" i="1"/>
  <c r="AT35" i="1"/>
  <c r="AU35" i="1"/>
  <c r="AH33" i="1"/>
  <c r="AH34" i="1"/>
  <c r="AH35" i="1"/>
  <c r="AH32" i="1"/>
  <c r="AX17" i="1"/>
  <c r="AY17" i="1"/>
  <c r="AX18" i="1"/>
  <c r="AY18" i="1"/>
  <c r="AX19" i="1"/>
  <c r="AY19" i="1"/>
  <c r="AX20" i="1"/>
  <c r="AY20" i="1"/>
  <c r="AX21" i="1"/>
  <c r="AY21" i="1"/>
  <c r="AX22" i="1"/>
  <c r="AY22" i="1"/>
  <c r="AX23" i="1"/>
  <c r="AY23" i="1"/>
  <c r="AX24" i="1"/>
  <c r="AY24" i="1"/>
  <c r="AX25" i="1"/>
  <c r="AY25" i="1"/>
  <c r="AX26" i="1"/>
  <c r="AY26" i="1"/>
  <c r="AX27" i="1"/>
  <c r="AY27" i="1"/>
  <c r="AX28" i="1"/>
  <c r="AY28" i="1"/>
  <c r="AX29" i="1"/>
  <c r="AY29" i="1"/>
  <c r="AX30" i="1"/>
  <c r="AY30" i="1"/>
  <c r="AX31" i="1"/>
  <c r="AY31" i="1"/>
  <c r="AY16" i="1"/>
  <c r="AX16" i="1"/>
  <c r="AE17" i="1"/>
  <c r="AI16" i="1"/>
  <c r="AJ16" i="1"/>
  <c r="AK16" i="1"/>
  <c r="AL16" i="1"/>
  <c r="AM16" i="1"/>
  <c r="AN16" i="1"/>
  <c r="AO16" i="1"/>
  <c r="AO51" i="1" s="1"/>
  <c r="AP16" i="1"/>
  <c r="AP51" i="1" s="1"/>
  <c r="AQ16" i="1"/>
  <c r="AR16" i="1"/>
  <c r="AS16" i="1"/>
  <c r="AT16" i="1"/>
  <c r="AU16" i="1"/>
  <c r="AI17" i="1"/>
  <c r="AJ17" i="1"/>
  <c r="AK17" i="1"/>
  <c r="AL17" i="1"/>
  <c r="AM17" i="1"/>
  <c r="AN17" i="1"/>
  <c r="AO17" i="1"/>
  <c r="AP17" i="1"/>
  <c r="AQ17" i="1"/>
  <c r="AR17" i="1"/>
  <c r="AS17" i="1"/>
  <c r="AT17" i="1"/>
  <c r="AU17" i="1"/>
  <c r="AI18" i="1"/>
  <c r="AJ18" i="1"/>
  <c r="AK18" i="1"/>
  <c r="AL18" i="1"/>
  <c r="AM18" i="1"/>
  <c r="AN18" i="1"/>
  <c r="AO18" i="1"/>
  <c r="AP18" i="1"/>
  <c r="AQ18" i="1"/>
  <c r="AR18" i="1"/>
  <c r="AS18" i="1"/>
  <c r="AT18" i="1"/>
  <c r="AU18" i="1"/>
  <c r="AI19" i="1"/>
  <c r="AJ19" i="1"/>
  <c r="AK19" i="1"/>
  <c r="AL19" i="1"/>
  <c r="AM19" i="1"/>
  <c r="AN19" i="1"/>
  <c r="AO19" i="1"/>
  <c r="AP19" i="1"/>
  <c r="AQ19" i="1"/>
  <c r="AR19" i="1"/>
  <c r="AS19" i="1"/>
  <c r="AT19" i="1"/>
  <c r="AU19" i="1"/>
  <c r="AI20" i="1"/>
  <c r="AJ20" i="1"/>
  <c r="AK20" i="1"/>
  <c r="AL20" i="1"/>
  <c r="AM20" i="1"/>
  <c r="AN20" i="1"/>
  <c r="AO20" i="1"/>
  <c r="AP20" i="1"/>
  <c r="AQ20" i="1"/>
  <c r="AR20" i="1"/>
  <c r="AS20" i="1"/>
  <c r="AT20" i="1"/>
  <c r="AU20" i="1"/>
  <c r="AI21" i="1"/>
  <c r="AJ21" i="1"/>
  <c r="AK21" i="1"/>
  <c r="AL21" i="1"/>
  <c r="AM21" i="1"/>
  <c r="AN21" i="1"/>
  <c r="AO21" i="1"/>
  <c r="AP21" i="1"/>
  <c r="AQ21" i="1"/>
  <c r="AR21" i="1"/>
  <c r="AS21" i="1"/>
  <c r="AT21" i="1"/>
  <c r="AU21" i="1"/>
  <c r="AI22" i="1"/>
  <c r="AJ22" i="1"/>
  <c r="AK22" i="1"/>
  <c r="AL22" i="1"/>
  <c r="AM22" i="1"/>
  <c r="AN22" i="1"/>
  <c r="AO22" i="1"/>
  <c r="AP22" i="1"/>
  <c r="AQ22" i="1"/>
  <c r="AR22" i="1"/>
  <c r="AS22" i="1"/>
  <c r="AT22" i="1"/>
  <c r="AU22" i="1"/>
  <c r="AI23" i="1"/>
  <c r="AJ23" i="1"/>
  <c r="AK23" i="1"/>
  <c r="AL23" i="1"/>
  <c r="AM23" i="1"/>
  <c r="AN23" i="1"/>
  <c r="AO23" i="1"/>
  <c r="AP23" i="1"/>
  <c r="AQ23" i="1"/>
  <c r="AR23" i="1"/>
  <c r="AS23" i="1"/>
  <c r="AT23" i="1"/>
  <c r="AU23" i="1"/>
  <c r="AI24" i="1"/>
  <c r="AJ24" i="1"/>
  <c r="AK24" i="1"/>
  <c r="AL24" i="1"/>
  <c r="AM24" i="1"/>
  <c r="AN24" i="1"/>
  <c r="AO24" i="1"/>
  <c r="AP24" i="1"/>
  <c r="AQ24" i="1"/>
  <c r="AR24" i="1"/>
  <c r="AS24" i="1"/>
  <c r="AT24" i="1"/>
  <c r="AU24" i="1"/>
  <c r="AI25" i="1"/>
  <c r="AJ25" i="1"/>
  <c r="AK25" i="1"/>
  <c r="AL25" i="1"/>
  <c r="AM25" i="1"/>
  <c r="AN25" i="1"/>
  <c r="AO25" i="1"/>
  <c r="AP25" i="1"/>
  <c r="AQ25" i="1"/>
  <c r="AR25" i="1"/>
  <c r="AS25" i="1"/>
  <c r="AT25" i="1"/>
  <c r="AU25" i="1"/>
  <c r="AI26" i="1"/>
  <c r="AJ26" i="1"/>
  <c r="AK26" i="1"/>
  <c r="AL26" i="1"/>
  <c r="AM26" i="1"/>
  <c r="AN26" i="1"/>
  <c r="AO26" i="1"/>
  <c r="AP26" i="1"/>
  <c r="AQ26" i="1"/>
  <c r="AR26" i="1"/>
  <c r="AS26" i="1"/>
  <c r="AT26" i="1"/>
  <c r="AU26" i="1"/>
  <c r="AI27" i="1"/>
  <c r="AJ27" i="1"/>
  <c r="AK27" i="1"/>
  <c r="AL27" i="1"/>
  <c r="AM27" i="1"/>
  <c r="AN27" i="1"/>
  <c r="AO27" i="1"/>
  <c r="AP27" i="1"/>
  <c r="AQ27" i="1"/>
  <c r="AR27" i="1"/>
  <c r="AS27" i="1"/>
  <c r="AT27" i="1"/>
  <c r="AU27" i="1"/>
  <c r="AI28" i="1"/>
  <c r="AJ28" i="1"/>
  <c r="AK28" i="1"/>
  <c r="AL28" i="1"/>
  <c r="AM28" i="1"/>
  <c r="AN28" i="1"/>
  <c r="AO28" i="1"/>
  <c r="AP28" i="1"/>
  <c r="AQ28" i="1"/>
  <c r="AR28" i="1"/>
  <c r="AS28" i="1"/>
  <c r="AT28" i="1"/>
  <c r="AU28" i="1"/>
  <c r="AI29" i="1"/>
  <c r="AJ29" i="1"/>
  <c r="AK29" i="1"/>
  <c r="AL29" i="1"/>
  <c r="AM29" i="1"/>
  <c r="AN29" i="1"/>
  <c r="AO29" i="1"/>
  <c r="AP29" i="1"/>
  <c r="AQ29" i="1"/>
  <c r="AR29" i="1"/>
  <c r="AS29" i="1"/>
  <c r="AT29" i="1"/>
  <c r="AU29" i="1"/>
  <c r="AI30" i="1"/>
  <c r="AJ30" i="1"/>
  <c r="AK30" i="1"/>
  <c r="AL30" i="1"/>
  <c r="AM30" i="1"/>
  <c r="AN30" i="1"/>
  <c r="AO30" i="1"/>
  <c r="AP30" i="1"/>
  <c r="AQ30" i="1"/>
  <c r="AR30" i="1"/>
  <c r="AS30" i="1"/>
  <c r="AT30" i="1"/>
  <c r="AU30" i="1"/>
  <c r="AI31" i="1"/>
  <c r="AJ31" i="1"/>
  <c r="AK31" i="1"/>
  <c r="AL31" i="1"/>
  <c r="AM31" i="1"/>
  <c r="AN31" i="1"/>
  <c r="AO31" i="1"/>
  <c r="AP31" i="1"/>
  <c r="AQ31" i="1"/>
  <c r="AR31" i="1"/>
  <c r="AS31" i="1"/>
  <c r="AT31" i="1"/>
  <c r="AU31" i="1"/>
  <c r="AH17" i="1"/>
  <c r="AH18" i="1"/>
  <c r="AH19" i="1"/>
  <c r="AH20" i="1"/>
  <c r="AH21" i="1"/>
  <c r="AH22" i="1"/>
  <c r="AH23" i="1"/>
  <c r="AH24" i="1"/>
  <c r="AH25" i="1"/>
  <c r="AH26" i="1"/>
  <c r="AH27" i="1"/>
  <c r="AH28" i="1"/>
  <c r="AH29" i="1"/>
  <c r="AH30" i="1"/>
  <c r="AH31" i="1"/>
  <c r="AH16" i="1"/>
  <c r="AH51" i="1" s="1"/>
  <c r="AY6" i="1"/>
  <c r="AY7" i="1"/>
  <c r="AY8" i="1"/>
  <c r="AY9" i="1"/>
  <c r="AY10" i="1"/>
  <c r="AY11" i="1"/>
  <c r="AY12" i="1"/>
  <c r="AX7" i="1"/>
  <c r="AX8" i="1"/>
  <c r="AX9" i="1"/>
  <c r="AX10" i="1"/>
  <c r="AX11" i="1"/>
  <c r="AX12" i="1"/>
  <c r="AX6" i="1"/>
  <c r="AI6" i="1"/>
  <c r="AJ6" i="1"/>
  <c r="AK6" i="1"/>
  <c r="AL6" i="1"/>
  <c r="AM6" i="1"/>
  <c r="AN6" i="1"/>
  <c r="AO6" i="1"/>
  <c r="AP6" i="1"/>
  <c r="AQ6" i="1"/>
  <c r="AR6" i="1"/>
  <c r="AS6" i="1"/>
  <c r="AT6" i="1"/>
  <c r="AU6" i="1"/>
  <c r="AI7" i="1"/>
  <c r="AJ7" i="1"/>
  <c r="AK7" i="1"/>
  <c r="AL7" i="1"/>
  <c r="AM7" i="1"/>
  <c r="AN7" i="1"/>
  <c r="AO7" i="1"/>
  <c r="AP7" i="1"/>
  <c r="AQ7" i="1"/>
  <c r="AR7" i="1"/>
  <c r="AS7" i="1"/>
  <c r="AT7" i="1"/>
  <c r="AU7" i="1"/>
  <c r="AI8" i="1"/>
  <c r="AJ8" i="1"/>
  <c r="AK8" i="1"/>
  <c r="AL8" i="1"/>
  <c r="AM8" i="1"/>
  <c r="AN8" i="1"/>
  <c r="AO8" i="1"/>
  <c r="AP8" i="1"/>
  <c r="AQ8" i="1"/>
  <c r="AR8" i="1"/>
  <c r="AS8" i="1"/>
  <c r="AT8" i="1"/>
  <c r="AU8" i="1"/>
  <c r="AI9" i="1"/>
  <c r="AJ9" i="1"/>
  <c r="AK9" i="1"/>
  <c r="AL9" i="1"/>
  <c r="AM9" i="1"/>
  <c r="AN9" i="1"/>
  <c r="AO9" i="1"/>
  <c r="AP9" i="1"/>
  <c r="AQ9" i="1"/>
  <c r="AR9" i="1"/>
  <c r="AS9" i="1"/>
  <c r="AT9" i="1"/>
  <c r="AU9" i="1"/>
  <c r="AI10" i="1"/>
  <c r="AJ10" i="1"/>
  <c r="AK10" i="1"/>
  <c r="AL10" i="1"/>
  <c r="AM10" i="1"/>
  <c r="AN10" i="1"/>
  <c r="AO10" i="1"/>
  <c r="AP10" i="1"/>
  <c r="AQ10" i="1"/>
  <c r="AR10" i="1"/>
  <c r="AS10" i="1"/>
  <c r="AT10" i="1"/>
  <c r="AU10" i="1"/>
  <c r="AI11" i="1"/>
  <c r="AJ11" i="1"/>
  <c r="AK11" i="1"/>
  <c r="AL11" i="1"/>
  <c r="AM11" i="1"/>
  <c r="AN11" i="1"/>
  <c r="AO11" i="1"/>
  <c r="AP11" i="1"/>
  <c r="AQ11" i="1"/>
  <c r="AR11" i="1"/>
  <c r="AS11" i="1"/>
  <c r="AT11" i="1"/>
  <c r="AU11" i="1"/>
  <c r="AI12" i="1"/>
  <c r="AJ12" i="1"/>
  <c r="AK12" i="1"/>
  <c r="AL12" i="1"/>
  <c r="AM12" i="1"/>
  <c r="AN12" i="1"/>
  <c r="AO12" i="1"/>
  <c r="AP12" i="1"/>
  <c r="AQ12" i="1"/>
  <c r="AR12" i="1"/>
  <c r="AS12" i="1"/>
  <c r="AT12" i="1"/>
  <c r="AU12" i="1"/>
  <c r="AH7" i="1"/>
  <c r="AH8" i="1"/>
  <c r="AH9" i="1"/>
  <c r="AH10" i="1"/>
  <c r="AH11" i="1"/>
  <c r="AH12" i="1"/>
  <c r="AH6" i="1"/>
  <c r="AY4" i="1"/>
  <c r="AX4" i="1"/>
  <c r="AI4" i="1"/>
  <c r="AJ4" i="1"/>
  <c r="AK4" i="1"/>
  <c r="AL4" i="1"/>
  <c r="AM4" i="1"/>
  <c r="AN4" i="1"/>
  <c r="AO4" i="1"/>
  <c r="AP4" i="1"/>
  <c r="AQ4" i="1"/>
  <c r="AR4" i="1"/>
  <c r="AS4" i="1"/>
  <c r="AT4" i="1"/>
  <c r="AU4" i="1"/>
  <c r="AH4" i="1"/>
  <c r="AY5" i="1"/>
  <c r="AX5" i="1"/>
  <c r="AI5" i="1"/>
  <c r="AJ5" i="1"/>
  <c r="AK5" i="1"/>
  <c r="AL5" i="1"/>
  <c r="AM5" i="1"/>
  <c r="AN5" i="1"/>
  <c r="AO5" i="1"/>
  <c r="AP5" i="1"/>
  <c r="AQ5" i="1"/>
  <c r="AR5" i="1"/>
  <c r="AS5" i="1"/>
  <c r="AT5" i="1"/>
  <c r="AU5" i="1"/>
  <c r="AH5" i="1"/>
  <c r="AS51" i="1" l="1"/>
  <c r="AR51" i="1"/>
  <c r="AQ51" i="1"/>
  <c r="AN51" i="1"/>
  <c r="AM51" i="1"/>
  <c r="AL51" i="1"/>
  <c r="AK51" i="1"/>
  <c r="AJ51" i="1"/>
  <c r="AU51" i="1"/>
  <c r="AI51" i="1"/>
  <c r="AT51" i="1"/>
  <c r="AM3" i="3"/>
  <c r="AV6" i="7"/>
  <c r="AT6" i="6"/>
  <c r="AL6" i="6"/>
  <c r="AJ4" i="6"/>
  <c r="AV9" i="2"/>
  <c r="AV11" i="2"/>
  <c r="AM4" i="2"/>
  <c r="AL4" i="2"/>
  <c r="AK4" i="2"/>
  <c r="AV4" i="7" l="1"/>
  <c r="AE5" i="2"/>
  <c r="AD19" i="7" l="1"/>
  <c r="AC19" i="7"/>
  <c r="AB19" i="7"/>
  <c r="AA19" i="7"/>
  <c r="Z19" i="7"/>
  <c r="Y19" i="7"/>
  <c r="X19" i="7"/>
  <c r="U19" i="7"/>
  <c r="T19" i="7"/>
  <c r="Q19" i="7"/>
  <c r="P19" i="7"/>
  <c r="AV18" i="7"/>
  <c r="AE18" i="7"/>
  <c r="V18" i="7"/>
  <c r="W18" i="7" s="1"/>
  <c r="AF18" i="7" s="1"/>
  <c r="O18" i="7"/>
  <c r="AV17" i="7"/>
  <c r="AE17" i="7"/>
  <c r="V17" i="7"/>
  <c r="W17" i="7" s="1"/>
  <c r="O17" i="7"/>
  <c r="AV16" i="7"/>
  <c r="AE16" i="7"/>
  <c r="S16" i="7"/>
  <c r="N16" i="7"/>
  <c r="O16" i="7" s="1"/>
  <c r="AV15" i="7"/>
  <c r="AE15" i="7"/>
  <c r="V15" i="7"/>
  <c r="W15" i="7" s="1"/>
  <c r="O15" i="7"/>
  <c r="AV14" i="7"/>
  <c r="AE14" i="7"/>
  <c r="V14" i="7"/>
  <c r="W14" i="7" s="1"/>
  <c r="AF14" i="7" s="1"/>
  <c r="O14" i="7"/>
  <c r="AV13" i="7"/>
  <c r="AE13" i="7"/>
  <c r="V13" i="7"/>
  <c r="W13" i="7" s="1"/>
  <c r="O13" i="7"/>
  <c r="AV12" i="7"/>
  <c r="V12" i="7"/>
  <c r="W12" i="7" s="1"/>
  <c r="AF12" i="7" s="1"/>
  <c r="O12" i="7"/>
  <c r="AV11" i="7"/>
  <c r="AE11" i="7"/>
  <c r="V11" i="7"/>
  <c r="W11" i="7" s="1"/>
  <c r="O11" i="7"/>
  <c r="AV10" i="7"/>
  <c r="AE10" i="7"/>
  <c r="R10" i="7"/>
  <c r="V10" i="7" s="1"/>
  <c r="N10" i="7"/>
  <c r="L10" i="7"/>
  <c r="AV9" i="7"/>
  <c r="AE9" i="7"/>
  <c r="V9" i="7"/>
  <c r="W9" i="7" s="1"/>
  <c r="O9" i="7"/>
  <c r="AV8" i="7"/>
  <c r="AE8" i="7"/>
  <c r="V8" i="7"/>
  <c r="L8" i="7"/>
  <c r="O8" i="7" s="1"/>
  <c r="AV7" i="7"/>
  <c r="AE7" i="7"/>
  <c r="V7" i="7"/>
  <c r="W7" i="7" s="1"/>
  <c r="AF7" i="7" s="1"/>
  <c r="O7" i="7"/>
  <c r="AE6" i="7"/>
  <c r="V6" i="7"/>
  <c r="W6" i="7" s="1"/>
  <c r="O6" i="7"/>
  <c r="AV5" i="7"/>
  <c r="AE5" i="7"/>
  <c r="V5" i="7"/>
  <c r="W5" i="7" s="1"/>
  <c r="AF5" i="7" s="1"/>
  <c r="O5" i="7"/>
  <c r="AE4" i="7"/>
  <c r="V4" i="7"/>
  <c r="W4" i="7" s="1"/>
  <c r="O4" i="7"/>
  <c r="R19" i="7"/>
  <c r="AJ3" i="7"/>
  <c r="AK3" i="7" s="1"/>
  <c r="AL3" i="7" s="1"/>
  <c r="AM3" i="7" s="1"/>
  <c r="AN3" i="7" s="1"/>
  <c r="AO3" i="7" s="1"/>
  <c r="AP3" i="7" s="1"/>
  <c r="AQ3" i="7" s="1"/>
  <c r="AR3" i="7" s="1"/>
  <c r="AS3" i="7" s="1"/>
  <c r="AT3" i="7" s="1"/>
  <c r="U1" i="7"/>
  <c r="T1" i="7"/>
  <c r="S1" i="7"/>
  <c r="R1" i="7"/>
  <c r="Q1" i="7"/>
  <c r="P1" i="7"/>
  <c r="N1" i="7"/>
  <c r="M1" i="7"/>
  <c r="L1" i="7"/>
  <c r="AD8" i="6"/>
  <c r="AC8" i="6"/>
  <c r="AC1" i="6" s="1"/>
  <c r="AB8" i="6"/>
  <c r="AB1" i="6" s="1"/>
  <c r="AA8" i="6"/>
  <c r="AA1" i="6" s="1"/>
  <c r="Z8" i="6"/>
  <c r="Z1" i="6" s="1"/>
  <c r="Y8" i="6"/>
  <c r="Y1" i="6" s="1"/>
  <c r="X8" i="6"/>
  <c r="X1" i="6" s="1"/>
  <c r="U8" i="6"/>
  <c r="T8" i="6"/>
  <c r="Q8" i="6"/>
  <c r="P8" i="6"/>
  <c r="M8" i="6"/>
  <c r="S8" i="6"/>
  <c r="AV7" i="6"/>
  <c r="AE7" i="6"/>
  <c r="V7" i="6"/>
  <c r="W7" i="6" s="1"/>
  <c r="O7" i="6"/>
  <c r="AV6" i="6"/>
  <c r="AE6" i="6"/>
  <c r="V6" i="6"/>
  <c r="W6" i="6" s="1"/>
  <c r="O6" i="6"/>
  <c r="AV5" i="6"/>
  <c r="AE5" i="6"/>
  <c r="V5" i="6"/>
  <c r="W5" i="6" s="1"/>
  <c r="O5" i="6"/>
  <c r="AV4" i="6"/>
  <c r="AE4" i="6"/>
  <c r="V4" i="6"/>
  <c r="W4" i="6" s="1"/>
  <c r="AF4" i="6" s="1"/>
  <c r="O4" i="6"/>
  <c r="L8" i="6"/>
  <c r="AJ3" i="6"/>
  <c r="AK3" i="6" s="1"/>
  <c r="AL3" i="6" s="1"/>
  <c r="AM3" i="6" s="1"/>
  <c r="AN3" i="6" s="1"/>
  <c r="AO3" i="6" s="1"/>
  <c r="AP3" i="6" s="1"/>
  <c r="AQ3" i="6" s="1"/>
  <c r="AR3" i="6" s="1"/>
  <c r="AS3" i="6" s="1"/>
  <c r="AT3" i="6" s="1"/>
  <c r="AD1" i="6"/>
  <c r="W1" i="6"/>
  <c r="V1" i="6"/>
  <c r="U1" i="6"/>
  <c r="T1" i="6"/>
  <c r="S1" i="6"/>
  <c r="R1" i="6"/>
  <c r="Q1" i="6"/>
  <c r="P1" i="6"/>
  <c r="O1" i="6"/>
  <c r="N1" i="6"/>
  <c r="M1" i="6"/>
  <c r="L1" i="6"/>
  <c r="AD20" i="5"/>
  <c r="AD1" i="5" s="1"/>
  <c r="AC20" i="5"/>
  <c r="AC1" i="5" s="1"/>
  <c r="AB20" i="5"/>
  <c r="AB1" i="5" s="1"/>
  <c r="AA20" i="5"/>
  <c r="AA1" i="5" s="1"/>
  <c r="Z20" i="5"/>
  <c r="Y20" i="5"/>
  <c r="Y1" i="5" s="1"/>
  <c r="X20" i="5"/>
  <c r="X1" i="5" s="1"/>
  <c r="U20" i="5"/>
  <c r="T20" i="5"/>
  <c r="Q20" i="5"/>
  <c r="P20" i="5"/>
  <c r="N20" i="5"/>
  <c r="AV19" i="5"/>
  <c r="AE19" i="5"/>
  <c r="V19" i="5"/>
  <c r="W19" i="5" s="1"/>
  <c r="AF19" i="5" s="1"/>
  <c r="AW19" i="5" s="1"/>
  <c r="O19" i="5"/>
  <c r="AV18" i="5"/>
  <c r="AE18" i="5"/>
  <c r="V18" i="5"/>
  <c r="AV17" i="5"/>
  <c r="AE17" i="5"/>
  <c r="R20" i="5"/>
  <c r="O17" i="5"/>
  <c r="AV16" i="5"/>
  <c r="AE16" i="5"/>
  <c r="V16" i="5"/>
  <c r="W16" i="5" s="1"/>
  <c r="O16" i="5"/>
  <c r="AV15" i="5"/>
  <c r="AE15" i="5"/>
  <c r="V15" i="5"/>
  <c r="W15" i="5" s="1"/>
  <c r="O15" i="5"/>
  <c r="AV14" i="5"/>
  <c r="AE14" i="5"/>
  <c r="V14" i="5"/>
  <c r="W14" i="5" s="1"/>
  <c r="O14" i="5"/>
  <c r="AV13" i="5"/>
  <c r="AE13" i="5"/>
  <c r="V13" i="5"/>
  <c r="O13" i="5"/>
  <c r="AV12" i="5"/>
  <c r="AE12" i="5"/>
  <c r="V12" i="5"/>
  <c r="W12" i="5" s="1"/>
  <c r="O12" i="5"/>
  <c r="AV11" i="5"/>
  <c r="AE11" i="5"/>
  <c r="V11" i="5"/>
  <c r="W11" i="5" s="1"/>
  <c r="O11" i="5"/>
  <c r="AV10" i="5"/>
  <c r="AE10" i="5"/>
  <c r="V10" i="5"/>
  <c r="W10" i="5" s="1"/>
  <c r="AF10" i="5" s="1"/>
  <c r="O10" i="5"/>
  <c r="AV9" i="5"/>
  <c r="AE9" i="5"/>
  <c r="V9" i="5"/>
  <c r="W9" i="5" s="1"/>
  <c r="O9" i="5"/>
  <c r="AV8" i="5"/>
  <c r="AE8" i="5"/>
  <c r="V8" i="5"/>
  <c r="W8" i="5" s="1"/>
  <c r="AF8" i="5" s="1"/>
  <c r="O8" i="5"/>
  <c r="AV7" i="5"/>
  <c r="AE7" i="5"/>
  <c r="V7" i="5"/>
  <c r="W7" i="5" s="1"/>
  <c r="AF7" i="5" s="1"/>
  <c r="O7" i="5"/>
  <c r="AV6" i="5"/>
  <c r="AE6" i="5"/>
  <c r="V6" i="5"/>
  <c r="W6" i="5" s="1"/>
  <c r="AF6" i="5" s="1"/>
  <c r="O6" i="5"/>
  <c r="AV5" i="5"/>
  <c r="AE5" i="5"/>
  <c r="V5" i="5"/>
  <c r="AV4" i="5"/>
  <c r="AE4" i="5"/>
  <c r="V4" i="5"/>
  <c r="W4" i="5" s="1"/>
  <c r="O4" i="5"/>
  <c r="AJ3" i="5"/>
  <c r="AK3" i="5" s="1"/>
  <c r="AL3" i="5" s="1"/>
  <c r="AM3" i="5" s="1"/>
  <c r="AN3" i="5" s="1"/>
  <c r="AO3" i="5" s="1"/>
  <c r="AP3" i="5" s="1"/>
  <c r="AQ3" i="5" s="1"/>
  <c r="AR3" i="5" s="1"/>
  <c r="AS3" i="5" s="1"/>
  <c r="AT3" i="5" s="1"/>
  <c r="Z1" i="5"/>
  <c r="W1" i="5"/>
  <c r="V1" i="5"/>
  <c r="U1" i="5"/>
  <c r="T1" i="5"/>
  <c r="S1" i="5"/>
  <c r="R1" i="5"/>
  <c r="Q1" i="5"/>
  <c r="P1" i="5"/>
  <c r="O1" i="5"/>
  <c r="N1" i="5"/>
  <c r="M1" i="5"/>
  <c r="L1" i="5"/>
  <c r="AD5" i="3"/>
  <c r="AC5" i="3"/>
  <c r="AC1" i="3" s="1"/>
  <c r="AB5" i="3"/>
  <c r="AB1" i="3" s="1"/>
  <c r="AA5" i="3"/>
  <c r="AA1" i="3" s="1"/>
  <c r="Z5" i="3"/>
  <c r="Y5" i="3"/>
  <c r="Y1" i="3" s="1"/>
  <c r="X5" i="3"/>
  <c r="U5" i="3"/>
  <c r="T5" i="3"/>
  <c r="Q5" i="3"/>
  <c r="P5" i="3"/>
  <c r="S5" i="3"/>
  <c r="AV4" i="3"/>
  <c r="AE4" i="3"/>
  <c r="V4" i="3"/>
  <c r="W4" i="3" s="1"/>
  <c r="O4" i="3"/>
  <c r="AJ3" i="3"/>
  <c r="AK3" i="3" s="1"/>
  <c r="AL3" i="3" s="1"/>
  <c r="AN3" i="3" s="1"/>
  <c r="AO3" i="3" s="1"/>
  <c r="AP3" i="3" s="1"/>
  <c r="AQ3" i="3" s="1"/>
  <c r="AR3" i="3" s="1"/>
  <c r="AS3" i="3" s="1"/>
  <c r="AT3" i="3" s="1"/>
  <c r="AD1" i="3"/>
  <c r="Z1" i="3"/>
  <c r="X1" i="3"/>
  <c r="W1" i="3"/>
  <c r="V1" i="3"/>
  <c r="U1" i="3"/>
  <c r="T1" i="3"/>
  <c r="S1" i="3"/>
  <c r="R1" i="3"/>
  <c r="Q1" i="3"/>
  <c r="P1" i="3"/>
  <c r="O1" i="3"/>
  <c r="N1" i="3"/>
  <c r="M1" i="3"/>
  <c r="L1" i="3"/>
  <c r="AD12" i="2"/>
  <c r="AD1" i="2" s="1"/>
  <c r="AC12" i="2"/>
  <c r="AC1" i="2" s="1"/>
  <c r="AB12" i="2"/>
  <c r="AB1" i="2" s="1"/>
  <c r="AA12" i="2"/>
  <c r="AA1" i="2" s="1"/>
  <c r="Z12" i="2"/>
  <c r="Z1" i="2" s="1"/>
  <c r="Y12" i="2"/>
  <c r="X12" i="2"/>
  <c r="X1" i="2" s="1"/>
  <c r="U12" i="2"/>
  <c r="T12" i="2"/>
  <c r="Q12" i="2"/>
  <c r="P12" i="2"/>
  <c r="S12" i="2"/>
  <c r="N12" i="2"/>
  <c r="R12" i="2"/>
  <c r="AE11" i="2"/>
  <c r="V11" i="2"/>
  <c r="W11" i="2" s="1"/>
  <c r="O11" i="2"/>
  <c r="AV10" i="2"/>
  <c r="AE10" i="2"/>
  <c r="V10" i="2"/>
  <c r="W10" i="2" s="1"/>
  <c r="AF10" i="2" s="1"/>
  <c r="O10" i="2"/>
  <c r="AE9" i="2"/>
  <c r="V9" i="2"/>
  <c r="W9" i="2" s="1"/>
  <c r="O9" i="2"/>
  <c r="AV8" i="2"/>
  <c r="AE8" i="2"/>
  <c r="V8" i="2"/>
  <c r="W8" i="2" s="1"/>
  <c r="AF8" i="2" s="1"/>
  <c r="O8" i="2"/>
  <c r="AV7" i="2"/>
  <c r="AE7" i="2"/>
  <c r="V7" i="2"/>
  <c r="W7" i="2" s="1"/>
  <c r="O7" i="2"/>
  <c r="AV6" i="2"/>
  <c r="AE6" i="2"/>
  <c r="V6" i="2"/>
  <c r="W6" i="2" s="1"/>
  <c r="O6" i="2"/>
  <c r="AV5" i="2"/>
  <c r="V5" i="2"/>
  <c r="W5" i="2" s="1"/>
  <c r="O5" i="2"/>
  <c r="AV4" i="2"/>
  <c r="AE4" i="2"/>
  <c r="V4" i="2"/>
  <c r="W4" i="2" s="1"/>
  <c r="O4" i="2"/>
  <c r="AJ3" i="2"/>
  <c r="AK3" i="2" s="1"/>
  <c r="AL3" i="2" s="1"/>
  <c r="AM3" i="2" s="1"/>
  <c r="AN3" i="2" s="1"/>
  <c r="AO3" i="2" s="1"/>
  <c r="AP3" i="2" s="1"/>
  <c r="AQ3" i="2" s="1"/>
  <c r="AR3" i="2" s="1"/>
  <c r="AS3" i="2" s="1"/>
  <c r="AT3" i="2" s="1"/>
  <c r="Y1" i="2"/>
  <c r="W1" i="2"/>
  <c r="V1" i="2"/>
  <c r="U1" i="2"/>
  <c r="T1" i="2"/>
  <c r="S1" i="2"/>
  <c r="R1" i="2"/>
  <c r="Q1" i="2"/>
  <c r="P1" i="2"/>
  <c r="O1" i="2"/>
  <c r="N1" i="2"/>
  <c r="M1" i="2"/>
  <c r="L1" i="2"/>
  <c r="AV50" i="1"/>
  <c r="AV49" i="1"/>
  <c r="AV48" i="1"/>
  <c r="AV47" i="1"/>
  <c r="AV46" i="1"/>
  <c r="AV45" i="1"/>
  <c r="AV44" i="1"/>
  <c r="AV43" i="1"/>
  <c r="AV42" i="1"/>
  <c r="AV41" i="1"/>
  <c r="AV40" i="1"/>
  <c r="AV39" i="1"/>
  <c r="AV38" i="1"/>
  <c r="AV37" i="1"/>
  <c r="AV36" i="1"/>
  <c r="AV35" i="1"/>
  <c r="AV34" i="1"/>
  <c r="AV33" i="1"/>
  <c r="AV32" i="1"/>
  <c r="AV31" i="1"/>
  <c r="AV30" i="1"/>
  <c r="AV29" i="1"/>
  <c r="AV28" i="1"/>
  <c r="AV27" i="1"/>
  <c r="AV26" i="1"/>
  <c r="AV25" i="1"/>
  <c r="AV24" i="1"/>
  <c r="AV23" i="1"/>
  <c r="AV22" i="1"/>
  <c r="AV21" i="1"/>
  <c r="AV20" i="1"/>
  <c r="AV19" i="1"/>
  <c r="AV18" i="1"/>
  <c r="AV17" i="1"/>
  <c r="AV16" i="1"/>
  <c r="AV15" i="1"/>
  <c r="AV14" i="1"/>
  <c r="AV13" i="1"/>
  <c r="AV12" i="1"/>
  <c r="AV11" i="1"/>
  <c r="AV10" i="1"/>
  <c r="AV9" i="1"/>
  <c r="AV8" i="1"/>
  <c r="AV7" i="1"/>
  <c r="AV6" i="1"/>
  <c r="AV5" i="1"/>
  <c r="AV4" i="1"/>
  <c r="AJ3" i="1"/>
  <c r="AK3" i="1" s="1"/>
  <c r="AL3" i="1" s="1"/>
  <c r="AM3" i="1" s="1"/>
  <c r="AN3" i="1" s="1"/>
  <c r="AO3" i="1" s="1"/>
  <c r="AP3" i="1" s="1"/>
  <c r="AQ3" i="1" s="1"/>
  <c r="AR3" i="1" s="1"/>
  <c r="AS3" i="1" s="1"/>
  <c r="AT3" i="1" s="1"/>
  <c r="AG15" i="5" l="1"/>
  <c r="AF11" i="5"/>
  <c r="AV51" i="1"/>
  <c r="AF5" i="6"/>
  <c r="AW5" i="6" s="1"/>
  <c r="AW8" i="2"/>
  <c r="AF7" i="2"/>
  <c r="AF11" i="2"/>
  <c r="N19" i="7"/>
  <c r="AW5" i="7"/>
  <c r="AW14" i="7"/>
  <c r="AW7" i="7"/>
  <c r="AF17" i="7"/>
  <c r="AW17" i="7" s="1"/>
  <c r="AG18" i="7"/>
  <c r="AW8" i="5"/>
  <c r="AW12" i="7"/>
  <c r="AG15" i="7"/>
  <c r="AG4" i="7"/>
  <c r="AG13" i="7"/>
  <c r="AG11" i="7"/>
  <c r="AG17" i="7"/>
  <c r="AG6" i="7"/>
  <c r="W8" i="7"/>
  <c r="AF8" i="7" s="1"/>
  <c r="AW8" i="7" s="1"/>
  <c r="W10" i="7"/>
  <c r="AF10" i="7" s="1"/>
  <c r="AW10" i="7" s="1"/>
  <c r="AF9" i="7"/>
  <c r="AW9" i="7" s="1"/>
  <c r="AG9" i="7"/>
  <c r="AE19" i="7"/>
  <c r="M19" i="7"/>
  <c r="S19" i="7"/>
  <c r="V16" i="7"/>
  <c r="W16" i="7" s="1"/>
  <c r="L19" i="7"/>
  <c r="AW18" i="7"/>
  <c r="AG5" i="7"/>
  <c r="AG7" i="7"/>
  <c r="AG12" i="7"/>
  <c r="AG14" i="7"/>
  <c r="AF4" i="7"/>
  <c r="AW4" i="7" s="1"/>
  <c r="AF6" i="7"/>
  <c r="AW6" i="7" s="1"/>
  <c r="O10" i="7"/>
  <c r="O19" i="7" s="1"/>
  <c r="AF11" i="7"/>
  <c r="AW11" i="7" s="1"/>
  <c r="AF13" i="7"/>
  <c r="AW13" i="7" s="1"/>
  <c r="AF15" i="7"/>
  <c r="AW15" i="7" s="1"/>
  <c r="AF7" i="6"/>
  <c r="AW7" i="6" s="1"/>
  <c r="AW4" i="6"/>
  <c r="AE1" i="6"/>
  <c r="AF6" i="6"/>
  <c r="AW6" i="6" s="1"/>
  <c r="R8" i="6"/>
  <c r="V8" i="6"/>
  <c r="O8" i="6"/>
  <c r="AG4" i="6"/>
  <c r="AG6" i="6"/>
  <c r="N8" i="6"/>
  <c r="AE8" i="6"/>
  <c r="AG5" i="6"/>
  <c r="AG7" i="6"/>
  <c r="V17" i="5"/>
  <c r="W17" i="5" s="1"/>
  <c r="AF17" i="5" s="1"/>
  <c r="AW17" i="5" s="1"/>
  <c r="AW11" i="5"/>
  <c r="AG9" i="5"/>
  <c r="AG10" i="5"/>
  <c r="W13" i="5"/>
  <c r="AG13" i="5" s="1"/>
  <c r="AG14" i="5"/>
  <c r="AF15" i="5"/>
  <c r="AW15" i="5" s="1"/>
  <c r="AE1" i="5"/>
  <c r="AG4" i="5"/>
  <c r="AF14" i="5"/>
  <c r="AW14" i="5" s="1"/>
  <c r="AW6" i="5"/>
  <c r="AW7" i="5"/>
  <c r="AF9" i="5"/>
  <c r="AW9" i="5" s="1"/>
  <c r="AW10" i="5"/>
  <c r="AG12" i="5"/>
  <c r="AF16" i="5"/>
  <c r="AW16" i="5" s="1"/>
  <c r="AG16" i="5"/>
  <c r="AE20" i="5"/>
  <c r="O18" i="5"/>
  <c r="M20" i="5"/>
  <c r="W18" i="5"/>
  <c r="AF18" i="5" s="1"/>
  <c r="AG8" i="5"/>
  <c r="AG11" i="5"/>
  <c r="S20" i="5"/>
  <c r="AG7" i="5"/>
  <c r="AF4" i="5"/>
  <c r="AW4" i="5" s="1"/>
  <c r="O5" i="5"/>
  <c r="W5" i="5"/>
  <c r="AF5" i="5" s="1"/>
  <c r="AW5" i="5" s="1"/>
  <c r="L20" i="5"/>
  <c r="AG6" i="5"/>
  <c r="AF12" i="5"/>
  <c r="AW12" i="5" s="1"/>
  <c r="AG19" i="5"/>
  <c r="AG4" i="3"/>
  <c r="AE1" i="3"/>
  <c r="AF4" i="3"/>
  <c r="AW4" i="3" s="1"/>
  <c r="L5" i="3"/>
  <c r="M5" i="3"/>
  <c r="R5" i="3"/>
  <c r="O5" i="3"/>
  <c r="N5" i="3"/>
  <c r="AE5" i="3"/>
  <c r="AF6" i="2"/>
  <c r="AW6" i="2"/>
  <c r="M12" i="2"/>
  <c r="AG5" i="2"/>
  <c r="AW10" i="2"/>
  <c r="AE1" i="2"/>
  <c r="AG9" i="2"/>
  <c r="AW7" i="2"/>
  <c r="AW11" i="2"/>
  <c r="AF5" i="2"/>
  <c r="AW5" i="2" s="1"/>
  <c r="AG8" i="2"/>
  <c r="AF9" i="2"/>
  <c r="AW9" i="2" s="1"/>
  <c r="AE12" i="2"/>
  <c r="AG4" i="2"/>
  <c r="AG7" i="2"/>
  <c r="AG11" i="2"/>
  <c r="O12" i="2"/>
  <c r="AF4" i="2"/>
  <c r="AW4" i="2" s="1"/>
  <c r="AG6" i="2"/>
  <c r="AG10" i="2"/>
  <c r="V12" i="2"/>
  <c r="L12" i="2"/>
  <c r="U1" i="1"/>
  <c r="T1" i="1"/>
  <c r="V50" i="1"/>
  <c r="W50" i="1" s="1"/>
  <c r="O50" i="1"/>
  <c r="V49" i="1"/>
  <c r="W49" i="1" s="1"/>
  <c r="O49" i="1"/>
  <c r="S48" i="1"/>
  <c r="N48" i="1"/>
  <c r="O48" i="1" s="1"/>
  <c r="V47" i="1"/>
  <c r="W47" i="1" s="1"/>
  <c r="O47" i="1"/>
  <c r="V46" i="1"/>
  <c r="W46" i="1" s="1"/>
  <c r="O46" i="1"/>
  <c r="V45" i="1"/>
  <c r="W45" i="1" s="1"/>
  <c r="O45" i="1"/>
  <c r="V44" i="1"/>
  <c r="W44" i="1" s="1"/>
  <c r="O44" i="1"/>
  <c r="V43" i="1"/>
  <c r="W43" i="1" s="1"/>
  <c r="O43" i="1"/>
  <c r="R42" i="1"/>
  <c r="V42" i="1" s="1"/>
  <c r="N42" i="1"/>
  <c r="L42" i="1"/>
  <c r="V41" i="1"/>
  <c r="W41" i="1" s="1"/>
  <c r="O41" i="1"/>
  <c r="V40" i="1"/>
  <c r="L40" i="1"/>
  <c r="O40" i="1" s="1"/>
  <c r="V39" i="1"/>
  <c r="W39" i="1" s="1"/>
  <c r="O39" i="1"/>
  <c r="V38" i="1"/>
  <c r="W38" i="1" s="1"/>
  <c r="O38" i="1"/>
  <c r="V37" i="1"/>
  <c r="W37" i="1" s="1"/>
  <c r="O37" i="1"/>
  <c r="V36" i="1"/>
  <c r="W36" i="1" s="1"/>
  <c r="O36" i="1"/>
  <c r="V35" i="1"/>
  <c r="W35" i="1" s="1"/>
  <c r="O35" i="1"/>
  <c r="V34" i="1"/>
  <c r="W34" i="1" s="1"/>
  <c r="O34" i="1"/>
  <c r="V33" i="1"/>
  <c r="W33" i="1" s="1"/>
  <c r="O33" i="1"/>
  <c r="V32" i="1"/>
  <c r="W32" i="1" s="1"/>
  <c r="O32" i="1"/>
  <c r="V31" i="1"/>
  <c r="W31" i="1" s="1"/>
  <c r="O31" i="1"/>
  <c r="V30" i="1"/>
  <c r="M30" i="1"/>
  <c r="O30" i="1" s="1"/>
  <c r="R29" i="1"/>
  <c r="V29" i="1" s="1"/>
  <c r="W29" i="1" s="1"/>
  <c r="O29" i="1"/>
  <c r="V28" i="1"/>
  <c r="W28" i="1" s="1"/>
  <c r="O28" i="1"/>
  <c r="V27" i="1"/>
  <c r="W27" i="1" s="1"/>
  <c r="O27" i="1"/>
  <c r="V26" i="1"/>
  <c r="W26" i="1" s="1"/>
  <c r="O26" i="1"/>
  <c r="V25" i="1"/>
  <c r="L25" i="1"/>
  <c r="V24" i="1"/>
  <c r="W24" i="1" s="1"/>
  <c r="O24" i="1"/>
  <c r="V23" i="1"/>
  <c r="W23" i="1" s="1"/>
  <c r="O23" i="1"/>
  <c r="V22" i="1"/>
  <c r="W22" i="1" s="1"/>
  <c r="O22" i="1"/>
  <c r="V21" i="1"/>
  <c r="W21" i="1" s="1"/>
  <c r="O21" i="1"/>
  <c r="V20" i="1"/>
  <c r="W20" i="1" s="1"/>
  <c r="O20" i="1"/>
  <c r="V19" i="1"/>
  <c r="W19" i="1" s="1"/>
  <c r="O19" i="1"/>
  <c r="V18" i="1"/>
  <c r="W18" i="1" s="1"/>
  <c r="O18" i="1"/>
  <c r="V17" i="1"/>
  <c r="L17" i="1"/>
  <c r="L51" i="1" s="1"/>
  <c r="V16" i="1"/>
  <c r="W16" i="1" s="1"/>
  <c r="O16" i="1"/>
  <c r="V15" i="1"/>
  <c r="W15" i="1" s="1"/>
  <c r="O15" i="1"/>
  <c r="V14" i="1"/>
  <c r="W14" i="1" s="1"/>
  <c r="O14" i="1"/>
  <c r="V13" i="1"/>
  <c r="W13" i="1" s="1"/>
  <c r="O13" i="1"/>
  <c r="V12" i="1"/>
  <c r="W12" i="1" s="1"/>
  <c r="O12" i="1"/>
  <c r="V11" i="1"/>
  <c r="W11" i="1" s="1"/>
  <c r="O11" i="1"/>
  <c r="V10" i="1"/>
  <c r="W10" i="1" s="1"/>
  <c r="O10" i="1"/>
  <c r="V9" i="1"/>
  <c r="W9" i="1" s="1"/>
  <c r="O9" i="1"/>
  <c r="V8" i="1"/>
  <c r="W8" i="1" s="1"/>
  <c r="O8" i="1"/>
  <c r="V7" i="1"/>
  <c r="W7" i="1" s="1"/>
  <c r="O7" i="1"/>
  <c r="V6" i="1"/>
  <c r="W6" i="1" s="1"/>
  <c r="O6" i="1"/>
  <c r="V5" i="1"/>
  <c r="W5" i="1" s="1"/>
  <c r="O5" i="1"/>
  <c r="V4" i="1"/>
  <c r="O4" i="1"/>
  <c r="X1" i="1"/>
  <c r="AG17" i="5" l="1"/>
  <c r="W4" i="1"/>
  <c r="AF13" i="5"/>
  <c r="AW13" i="5" s="1"/>
  <c r="AG10" i="7"/>
  <c r="V19" i="7"/>
  <c r="AG8" i="7"/>
  <c r="W19" i="7"/>
  <c r="AF16" i="7"/>
  <c r="AW16" i="7" s="1"/>
  <c r="AG16" i="7"/>
  <c r="W8" i="6"/>
  <c r="AF8" i="6"/>
  <c r="O20" i="5"/>
  <c r="AG18" i="5"/>
  <c r="AG5" i="5"/>
  <c r="W20" i="5"/>
  <c r="V20" i="5"/>
  <c r="V5" i="3"/>
  <c r="W5" i="3"/>
  <c r="AF5" i="3"/>
  <c r="AF12" i="2"/>
  <c r="W12" i="2"/>
  <c r="V48" i="1"/>
  <c r="W48" i="1" s="1"/>
  <c r="M51" i="1"/>
  <c r="N51" i="1"/>
  <c r="W25" i="1"/>
  <c r="S1" i="1"/>
  <c r="O42" i="1"/>
  <c r="W30" i="1"/>
  <c r="W40" i="1"/>
  <c r="O25" i="1"/>
  <c r="W42" i="1"/>
  <c r="Q1" i="1"/>
  <c r="N1" i="1"/>
  <c r="R1" i="1"/>
  <c r="O17" i="1"/>
  <c r="O51" i="1" s="1"/>
  <c r="W17" i="1"/>
  <c r="AF20" i="5" l="1"/>
  <c r="V51" i="1"/>
  <c r="W51" i="1"/>
  <c r="AF19" i="7"/>
  <c r="V1" i="1"/>
  <c r="P1" i="1"/>
  <c r="M1" i="1"/>
  <c r="AE21" i="1" l="1"/>
  <c r="AF21" i="1" s="1"/>
  <c r="AW21" i="1" s="1"/>
  <c r="AG21" i="1" l="1"/>
  <c r="AE45" i="1" l="1"/>
  <c r="AG45" i="1" l="1"/>
  <c r="AF45" i="1"/>
  <c r="AW45" i="1" s="1"/>
  <c r="AE46" i="1" l="1"/>
  <c r="AG46" i="1" l="1"/>
  <c r="AF46" i="1"/>
  <c r="AW46" i="1" s="1"/>
  <c r="O1" i="1" l="1"/>
  <c r="L1" i="1" l="1"/>
  <c r="W1" i="1" l="1"/>
  <c r="AE40" i="1" l="1"/>
  <c r="AG40" i="1" l="1"/>
  <c r="AF40" i="1"/>
  <c r="AW40" i="1" s="1"/>
  <c r="AE35" i="1" l="1"/>
  <c r="AG35" i="1" l="1"/>
  <c r="AF35" i="1"/>
  <c r="AW35" i="1" s="1"/>
  <c r="AF17" i="1" l="1"/>
  <c r="AW17" i="1" s="1"/>
  <c r="AG17" i="1"/>
  <c r="AE30" i="1" l="1"/>
  <c r="AF30" i="1" l="1"/>
  <c r="AW30" i="1" s="1"/>
  <c r="AG30" i="1"/>
  <c r="AE29" i="1" l="1"/>
  <c r="AG29" i="1" s="1"/>
  <c r="AF29" i="1" l="1"/>
  <c r="AW29" i="1" s="1"/>
  <c r="AE49" i="1" l="1"/>
  <c r="AF49" i="1" l="1"/>
  <c r="AW49" i="1" s="1"/>
  <c r="AG49" i="1"/>
  <c r="AE31" i="1" l="1"/>
  <c r="AF31" i="1" s="1"/>
  <c r="AW31" i="1" s="1"/>
  <c r="AG31" i="1" l="1"/>
  <c r="AE23" i="1" l="1"/>
  <c r="AG23" i="1" l="1"/>
  <c r="AF23" i="1"/>
  <c r="AW23" i="1" s="1"/>
  <c r="AE22" i="1" l="1"/>
  <c r="AG22" i="1" s="1"/>
  <c r="AF22" i="1" l="1"/>
  <c r="AW22" i="1" s="1"/>
  <c r="AE48" i="1" l="1"/>
  <c r="AG48" i="1" l="1"/>
  <c r="AF48" i="1"/>
  <c r="AW48" i="1" s="1"/>
  <c r="AE47" i="1"/>
  <c r="AE43" i="1"/>
  <c r="AG43" i="1" l="1"/>
  <c r="AF43" i="1"/>
  <c r="AW43" i="1" s="1"/>
  <c r="AF47" i="1"/>
  <c r="AW47" i="1" s="1"/>
  <c r="AG47" i="1"/>
  <c r="AE38" i="1" l="1"/>
  <c r="AG38" i="1" l="1"/>
  <c r="AF38" i="1"/>
  <c r="AW38" i="1" s="1"/>
  <c r="AE42" i="1"/>
  <c r="AG42" i="1" l="1"/>
  <c r="AF42" i="1"/>
  <c r="AW42" i="1" s="1"/>
  <c r="AF44" i="1" l="1"/>
  <c r="AW44" i="1" s="1"/>
  <c r="AG44" i="1"/>
  <c r="AE39" i="1" l="1"/>
  <c r="AG39" i="1" l="1"/>
  <c r="AF39" i="1"/>
  <c r="AW39" i="1" s="1"/>
  <c r="AE16" i="1" l="1"/>
  <c r="AF16" i="1" l="1"/>
  <c r="AW16" i="1" s="1"/>
  <c r="AG16" i="1"/>
  <c r="AD1" i="1" l="1"/>
  <c r="AE25" i="1" l="1"/>
  <c r="AG25" i="1" l="1"/>
  <c r="AF25" i="1"/>
  <c r="AW25" i="1" s="1"/>
  <c r="AE26" i="1" l="1"/>
  <c r="AE15" i="1" l="1"/>
  <c r="AG15" i="1" s="1"/>
  <c r="AE18" i="1"/>
  <c r="AF18" i="1" s="1"/>
  <c r="AW18" i="1" s="1"/>
  <c r="AE13" i="1"/>
  <c r="AF13" i="1" s="1"/>
  <c r="AW13" i="1" s="1"/>
  <c r="AE28" i="1"/>
  <c r="AG28" i="1" s="1"/>
  <c r="AE14" i="1"/>
  <c r="AF26" i="1"/>
  <c r="AW26" i="1" s="1"/>
  <c r="AG26" i="1"/>
  <c r="AE27" i="1"/>
  <c r="AE24" i="1"/>
  <c r="AF15" i="1" l="1"/>
  <c r="AW15" i="1" s="1"/>
  <c r="AG13" i="1"/>
  <c r="AF28" i="1"/>
  <c r="AW28" i="1" s="1"/>
  <c r="AG18" i="1"/>
  <c r="AF27" i="1"/>
  <c r="AW27" i="1" s="1"/>
  <c r="AG27" i="1"/>
  <c r="AF14" i="1"/>
  <c r="AW14" i="1" s="1"/>
  <c r="AG14" i="1"/>
  <c r="AG24" i="1"/>
  <c r="AF24" i="1"/>
  <c r="AW24" i="1" s="1"/>
  <c r="AE32" i="1" l="1"/>
  <c r="AE36" i="1" l="1"/>
  <c r="AG32" i="1"/>
  <c r="AF32" i="1"/>
  <c r="AW32" i="1" s="1"/>
  <c r="AE34" i="1"/>
  <c r="AE11" i="1"/>
  <c r="AE6" i="1"/>
  <c r="AE20" i="1" l="1"/>
  <c r="AG20" i="1" s="1"/>
  <c r="AE33" i="1"/>
  <c r="AG33" i="1" s="1"/>
  <c r="AE5" i="1"/>
  <c r="AF5" i="1" s="1"/>
  <c r="AW5" i="1" s="1"/>
  <c r="AE7" i="1"/>
  <c r="AG7" i="1" s="1"/>
  <c r="AE19" i="1"/>
  <c r="Y1" i="1"/>
  <c r="AE8" i="1"/>
  <c r="AC1" i="1"/>
  <c r="AE10" i="1"/>
  <c r="AE4" i="1"/>
  <c r="AE41" i="1"/>
  <c r="AE9" i="1"/>
  <c r="AF36" i="1"/>
  <c r="AW36" i="1" s="1"/>
  <c r="AG36" i="1"/>
  <c r="AG11" i="1"/>
  <c r="AF11" i="1"/>
  <c r="AW11" i="1" s="1"/>
  <c r="AE12" i="1"/>
  <c r="AG6" i="1"/>
  <c r="AF6" i="1"/>
  <c r="AW6" i="1" s="1"/>
  <c r="AE37" i="1"/>
  <c r="AG34" i="1"/>
  <c r="AF34" i="1"/>
  <c r="AW34" i="1" s="1"/>
  <c r="AF20" i="1" l="1"/>
  <c r="AW20" i="1" s="1"/>
  <c r="AG5" i="1"/>
  <c r="AF7" i="1"/>
  <c r="AW7" i="1" s="1"/>
  <c r="AF33" i="1"/>
  <c r="AW33" i="1" s="1"/>
  <c r="AG8" i="1"/>
  <c r="AF8" i="1"/>
  <c r="AW8" i="1" s="1"/>
  <c r="AF12" i="1"/>
  <c r="AW12" i="1" s="1"/>
  <c r="AG12" i="1"/>
  <c r="AG9" i="1"/>
  <c r="AF9" i="1"/>
  <c r="AW9" i="1" s="1"/>
  <c r="Z1" i="1"/>
  <c r="AG41" i="1"/>
  <c r="AF41" i="1"/>
  <c r="AW41" i="1" s="1"/>
  <c r="AG37" i="1"/>
  <c r="AF37" i="1"/>
  <c r="AW37" i="1" s="1"/>
  <c r="AG4" i="1"/>
  <c r="AF4" i="1"/>
  <c r="AG10" i="1"/>
  <c r="AF10" i="1"/>
  <c r="AW10" i="1" s="1"/>
  <c r="AF19" i="1"/>
  <c r="AW19" i="1" s="1"/>
  <c r="AG19" i="1"/>
  <c r="AW4" i="1" l="1"/>
  <c r="AA1" i="1"/>
  <c r="AE50" i="1" l="1"/>
  <c r="AE51" i="1" s="1"/>
  <c r="AB1" i="1"/>
  <c r="AE1" i="1" s="1"/>
  <c r="AG50" i="1" l="1"/>
  <c r="AF50" i="1"/>
  <c r="AF51" i="1" s="1"/>
  <c r="AW50" i="1" l="1"/>
  <c r="AW5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tc={F72015B9-D2FC-4C57-A980-FF12CF952860}</author>
    <author>tc={8C436492-BD94-4779-B5A3-BA66B6F463BA}</author>
    <author>tc={70D5B8AB-6F16-403D-A2A7-981D230E0DD7}</author>
    <author>tc={1E1D19B7-1ABC-41CD-B574-76C51263D488}</author>
    <author>tc={2F96193D-B5E0-4A4F-A624-395AADFF43EC}</author>
    <author>tc={9658EF74-66B1-4246-AA58-96F7DBC8D8C1}</author>
    <author>tc={5090CE68-3FB7-404B-A10D-E018C4DEE497}</author>
    <author>tc={AC57CD6A-B383-4FFB-B7AC-D3158FB29291}</author>
    <author>tc={65B42CBB-7572-4F48-A526-5EF24DAAB714}</author>
    <author>tc={7CB54A56-052F-474C-BB8F-4B7A2CEDDC3F}</author>
    <author>tc={BA3EBCD8-B9AD-4692-9A21-8B30428D4561}</author>
    <author>tc={028F1BF7-97DA-4049-A237-0F64587C1261}</author>
    <author>tc={81660847-5463-4039-AE44-01F39B194D9E}</author>
    <author>tc={3DB4DA39-FADF-468F-A9E9-F025EC855DF4}</author>
    <author>tc={70F722BF-57A3-43CA-A01A-11556EF24421}</author>
    <author>tc={4AFF84AD-579A-4EAB-81EF-C0A3996589EE}</author>
    <author>tc={35646F01-EF2B-43E6-B292-ED08BE1BFECF}</author>
    <author>tc={89AE381C-5DAE-4CBD-A881-A1321DF95681}</author>
    <author>tc={5718F0C5-AD9B-4055-8E05-BF24334A2E18}</author>
    <author>tc={736EF46E-7527-4E9B-A296-91FBB2D8352B}</author>
    <author>tc={9EEA5636-FB94-4A68-B523-5135E5020CA7}</author>
    <author>tc={680A0A08-A8E5-4ABA-ABC3-169D064108AC}</author>
    <author>tc={7E5F1BD9-166F-4122-9F4D-842003DF2496}</author>
    <author>tc={B9897D49-7F2A-4A6F-940D-7070EAC1152C}</author>
    <author>tc={B642EDC0-E9A3-4A32-89C0-7BA52C7DB187}</author>
    <author>tc={8F36E12A-A842-49EC-907C-CB669DBB627E}</author>
  </authors>
  <commentList>
    <comment ref="S4" authorId="0" shapeId="0" xr:uid="{F72015B9-D2FC-4C57-A980-FF12CF952860}">
      <text>
        <t>[Threaded comment]
Your version of Excel allows you to read this threaded comment; however, any edits to it will get removed if the file is opened in a newer version of Excel. Learn more: https://go.microsoft.com/fwlink/?linkid=870924
Comment:
    Partial DEOB $13,339.40 WP#26FRF32762</t>
      </text>
    </comment>
    <comment ref="I7" authorId="1" shapeId="0" xr:uid="{8C436492-BD94-4779-B5A3-BA66B6F463BA}">
      <text>
        <t>[Threaded comment]
Your version of Excel allows you to read this threaded comment; however, any edits to it will get removed if the file is opened in a newer version of Excel. Learn more: https://go.microsoft.com/fwlink/?linkid=870924
Comment:
    Changed from 3266 to 3278 in FY24</t>
      </text>
    </comment>
    <comment ref="R7" authorId="2" shapeId="0" xr:uid="{70D5B8AB-6F16-403D-A2A7-981D230E0DD7}">
      <text>
        <t xml:space="preserve">[Threaded comment]
Your version of Excel allows you to read this threaded comment; however, any edits to it will get removed if the file is opened in a newer version of Excel. Learn more: https://go.microsoft.com/fwlink/?linkid=870924
Comment:
    Deob WP of WP24FRF32784
</t>
      </text>
    </comment>
    <comment ref="I8" authorId="3" shapeId="0" xr:uid="{1E1D19B7-1ABC-41CD-B574-76C51263D488}">
      <text>
        <t>[Threaded comment]
Your version of Excel allows you to read this threaded comment; however, any edits to it will get removed if the file is opened in a newer version of Excel. Learn more: https://go.microsoft.com/fwlink/?linkid=870924
Comment:
    Danette M. Kluever:
Moved from BA3266 to BA3278 in SFY24</t>
      </text>
    </comment>
    <comment ref="K8" authorId="4" shapeId="0" xr:uid="{2F96193D-B5E0-4A4F-A624-395AADFF43EC}">
      <text>
        <t>[Threaded comment]
Your version of Excel allows you to read this threaded comment; however, any edits to it will get removed if the file is opened in a newer version of Excel. Learn more: https://go.microsoft.com/fwlink/?linkid=870924
Comment:
    Danette M. Kluever:
NOA=CAT24 in error, ACR#1-made correction to CAT34</t>
      </text>
    </comment>
    <comment ref="R8" authorId="5" shapeId="0" xr:uid="{9658EF74-66B1-4246-AA58-96F7DBC8D8C1}">
      <text>
        <t xml:space="preserve">[Threaded comment]
Your version of Excel allows you to read this threaded comment; however, any edits to it will get removed if the file is opened in a newer version of Excel. Learn more: https://go.microsoft.com/fwlink/?linkid=870924
Comment:
    Deob WP 24FRF32787
</t>
      </text>
    </comment>
    <comment ref="I9" authorId="6" shapeId="0" xr:uid="{5090CE68-3FB7-404B-A10D-E018C4DEE497}">
      <text>
        <t>[Threaded comment]
Your version of Excel allows you to read this threaded comment; however, any edits to it will get removed if the file is opened in a newer version of Excel. Learn more: https://go.microsoft.com/fwlink/?linkid=870924
Comment:
    Danette M. Kluever:
Moved from BA3266 to BA3278 in SFY24</t>
      </text>
    </comment>
    <comment ref="K9" authorId="7" shapeId="0" xr:uid="{AC57CD6A-B383-4FFB-B7AC-D3158FB29291}">
      <text>
        <t>[Threaded comment]
Your version of Excel allows you to read this threaded comment; however, any edits to it will get removed if the file is opened in a newer version of Excel. Learn more: https://go.microsoft.com/fwlink/?linkid=870924
Comment:
    Danette M. Kluever:
NOA=CAT24 in error, ACR#1-made correction to CAT34</t>
      </text>
    </comment>
    <comment ref="R9" authorId="8" shapeId="0" xr:uid="{65B42CBB-7572-4F48-A526-5EF24DAAB714}">
      <text>
        <t xml:space="preserve">[Threaded comment]
Your version of Excel allows you to read this threaded comment; however, any edits to it will get removed if the file is opened in a newer version of Excel. Learn more: https://go.microsoft.com/fwlink/?linkid=870924
Comment:
    DeOb WP24FRF32786
</t>
      </text>
    </comment>
    <comment ref="I11" authorId="9" shapeId="0" xr:uid="{7CB54A56-052F-474C-BB8F-4B7A2CEDDC3F}">
      <text>
        <t>[Threaded comment]
Your version of Excel allows you to read this threaded comment; however, any edits to it will get removed if the file is opened in a newer version of Excel. Learn more: https://go.microsoft.com/fwlink/?linkid=870924
Comment:
    Change to BA3278 eff FY24, no Exp in FY23 to BA3266</t>
      </text>
    </comment>
    <comment ref="I12" authorId="10" shapeId="0" xr:uid="{BA3EBCD8-B9AD-4692-9A21-8B30428D4561}">
      <text>
        <t>[Threaded comment]
Your version of Excel allows you to read this threaded comment; however, any edits to it will get removed if the file is opened in a newer version of Excel. Learn more: https://go.microsoft.com/fwlink/?linkid=870924
Comment:
    Change to BA3278 eff FY24, no Exp in FY23 to BA3266</t>
      </text>
    </comment>
    <comment ref="R12" authorId="11" shapeId="0" xr:uid="{028F1BF7-97DA-4049-A237-0F64587C1261}">
      <text>
        <t xml:space="preserve">[Threaded comment]
Your version of Excel allows you to read this threaded comment; however, any edits to it will get removed if the file is opened in a newer version of Excel. Learn more: https://go.microsoft.com/fwlink/?linkid=870924
Comment:
    SFY 24 De-Ob #24FRF32785
</t>
      </text>
    </comment>
    <comment ref="M14" authorId="12" shapeId="0" xr:uid="{81660847-5463-4039-AE44-01F39B194D9E}">
      <text>
        <t>[Threaded comment]
Your version of Excel allows you to read this threaded comment; however, any edits to it will get removed if the file is opened in a newer version of Excel. Learn more: https://go.microsoft.com/fwlink/?linkid=870924
Comment:
    $160,574.21 26FR315804 Approved 12.18.25</t>
      </text>
    </comment>
    <comment ref="R19" authorId="13" shapeId="0" xr:uid="{3DB4DA39-FADF-468F-A9E9-F025EC855DF4}">
      <text>
        <t xml:space="preserve">[Threaded comment]
Your version of Excel allows you to read this threaded comment; however, any edits to it will get removed if the file is opened in a newer version of Excel. Learn more: https://go.microsoft.com/fwlink/?linkid=870924
Comment:
    Deob WP 24FR316502
</t>
      </text>
    </comment>
    <comment ref="Q20" authorId="14" shapeId="0" xr:uid="{70F722BF-57A3-43CA-A01A-11556EF24421}">
      <text>
        <t>[Threaded comment]
Your version of Excel allows you to read this threaded comment; however, any edits to it will get removed if the file is opened in a newer version of Excel. Learn more: https://go.microsoft.com/fwlink/?linkid=870924
Comment:
    Pending Grant Realignment WP for $2,896,697 reduction in authority (DK)
Reply:
    $5,000,000 - transferred to DCFS under WP# 23FR314521</t>
      </text>
    </comment>
    <comment ref="R20" authorId="15" shapeId="0" xr:uid="{4AFF84AD-579A-4EAB-81EF-C0A3996589EE}">
      <text>
        <t>[Threaded comment]
Your version of Excel allows you to read this threaded comment; however, any edits to it will get removed if the file is opened in a newer version of Excel. Learn more: https://go.microsoft.com/fwlink/?linkid=870924
Comment:
    Agency Submitted DeOb for $2,896,697 that was signed off.  Agency sent email to the COVID19 mailbox Requesting to Retract DeOB.  Dan told Amy @ ARPA Admin Mtng 3.14.24 and she is checking with Jim Wells. 
Reply:
    $2.8 retracted but agency is giving up 1.9 per J. Wells. WP 24FR316504 (-903,303) combined with an L01 of 3,945,507 reduces the award by the 1.9 million.
Reply:
    WP #24FR316504 $903,303</t>
      </text>
    </comment>
    <comment ref="T24" authorId="16" shapeId="0" xr:uid="{35646F01-EF2B-43E6-B292-ED08BE1BFECF}">
      <text>
        <t>[Threaded comment]
Your version of Excel allows you to read this threaded comment; however, any edits to it will get removed if the file is opened in a newer version of Excel. Learn more: https://go.microsoft.com/fwlink/?linkid=870924
Comment:
    Partial Deob $288,337.50 Transfer to Jail Based 24JBMHP01</t>
      </text>
    </comment>
    <comment ref="P29" authorId="17" shapeId="0" xr:uid="{89AE381C-5DAE-4CBD-A881-A1321DF95681}">
      <text>
        <t>[Threaded comment]
Your version of Excel allows you to read this threaded comment; however, any edits to it will get removed if the file is opened in a newer version of Excel. Learn more: https://go.microsoft.com/fwlink/?linkid=870924
Comment:
    Deob WP 24FRF36453</t>
      </text>
    </comment>
    <comment ref="R29" authorId="18" shapeId="0" xr:uid="{5718F0C5-AD9B-4055-8E05-BF24334A2E18}">
      <text>
        <t>[Threaded comment]
Your version of Excel allows you to read this threaded comment; however, any edits to it will get removed if the file is opened in a newer version of Excel. Learn more: https://go.microsoft.com/fwlink/?linkid=870924
Comment:
    De-Obligation #24FR132776 $744,094 - June 2024 IFC 
Reply:
    Agency De-Ob WP# 24FRF36454</t>
      </text>
    </comment>
    <comment ref="M30" authorId="19" shapeId="0" xr:uid="{736EF46E-7527-4E9B-A296-91FBB2D8352B}">
      <text>
        <t>[Threaded comment]
Your version of Excel allows you to read this threaded comment; however, any edits to it will get removed if the file is opened in a newer version of Excel. Learn more: https://go.microsoft.com/fwlink/?linkid=870924
Comment:
    Supplemental#1=$2,939,148 &amp; Supplemental #2 =$221,588.96 Supplemental #3= $530,360.14
Reply:
    Supplemental #2+#3 = $751,950.10 26FRF31613 FEB-IFC</t>
      </text>
    </comment>
    <comment ref="R31" authorId="20" shapeId="0" xr:uid="{9EEA5636-FB94-4A68-B523-5135E5020CA7}">
      <text>
        <t>[Threaded comment]
Your version of Excel allows you to read this threaded comment; however, any edits to it will get removed if the file is opened in a newer version of Excel. Learn more: https://go.microsoft.com/fwlink/?linkid=870924
Comment:
    WP#24FR132777 De-Obligation $2,070,848 June 2024 IFC 
Reply:
    Agency De-Ob WP#24FRF31618 - Revised to $593,974</t>
      </text>
    </comment>
    <comment ref="V31" authorId="21" shapeId="0" xr:uid="{680A0A08-A8E5-4ABA-ABC3-169D064108AC}">
      <text>
        <t xml:space="preserve">[Threaded comment]
Your version of Excel allows you to read this threaded comment; however, any edits to it will get removed if the file is opened in a newer version of Excel. Learn more: https://go.microsoft.com/fwlink/?linkid=870924
Comment:
    WP#24FRF31618 June 2024 IFC </t>
      </text>
    </comment>
    <comment ref="L40" authorId="22" shapeId="0" xr:uid="{7E5F1BD9-166F-4122-9F4D-842003DF2496}">
      <text>
        <t>[Threaded comment]
Your version of Excel allows you to read this threaded comment; however, any edits to it will get removed if the file is opened in a newer version of Excel. Learn more: https://go.microsoft.com/fwlink/?linkid=870924
Comment:
    Issued NEW NOA for SFY24 L01 $1,430,349+31,036 = $1,461,385</t>
      </text>
    </comment>
    <comment ref="N44" authorId="23" shapeId="0" xr:uid="{B9897D49-7F2A-4A6F-940D-7070EAC1152C}">
      <text>
        <t>[Threaded comment]
Your version of Excel allows you to read this threaded comment; however, any edits to it will get removed if the file is opened in a newer version of Excel. Learn more: https://go.microsoft.com/fwlink/?linkid=870924
Comment:
    L01</t>
      </text>
    </comment>
    <comment ref="Q44" authorId="24" shapeId="0" xr:uid="{B642EDC0-E9A3-4A32-89C0-7BA52C7DB187}">
      <text>
        <t xml:space="preserve">[Threaded comment]
Your version of Excel allows you to read this threaded comment; however, any edits to it will get removed if the file is opened in a newer version of Excel. Learn more: https://go.microsoft.com/fwlink/?linkid=870924
Comment:
    FY23 not spent and not balanced foward
</t>
      </text>
    </comment>
    <comment ref="T45" authorId="25" shapeId="0" xr:uid="{8F36E12A-A842-49EC-907C-CB669DBB627E}">
      <text>
        <t>[Threaded comment]
Your version of Excel allows you to read this threaded comment; however, any edits to it will get removed if the file is opened in a newer version of Excel. Learn more: https://go.microsoft.com/fwlink/?linkid=870924
Comment:
    Pending Deob $200,000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tc={424A3720-04A9-4DE3-8948-745B6685644D}</author>
    <author>tc={A0A3CE0B-0F5D-461D-8868-1E8E90DC0AC6}</author>
    <author>tc={87E605A4-84B7-4788-94F1-44676873EC4C}</author>
    <author>tc={B6A64A3A-D6DC-4C94-94A4-1E42AB7C762A}</author>
    <author>tc={22BB0E79-3F7D-4220-BAB5-4DC424770E1C}</author>
    <author>tc={6A52D172-3AC8-488F-8ADE-F4D3FDE31F9F}</author>
    <author>tc={13D9C18F-E06D-49AB-A666-8B9A6E7E2756}</author>
    <author>tc={55137BD7-99BE-4972-9F18-1F3FD972C9AB}</author>
    <author>tc={1D96B0B3-5655-42EC-9513-05183C85A57C}</author>
    <author>tc={2B5A65CE-E996-461A-9A88-BA896F9232A6}</author>
    <author>tc={9486F37B-C78A-4A50-ABC8-A53F89004058}</author>
    <author>tc={9F232AA8-E4E3-4707-B442-134C803F37CF}</author>
  </authors>
  <commentList>
    <comment ref="S4" authorId="0" shapeId="0" xr:uid="{424A3720-04A9-4DE3-8948-745B6685644D}">
      <text>
        <t>[Threaded comment]
Your version of Excel allows you to read this threaded comment; however, any edits to it will get removed if the file is opened in a newer version of Excel. Learn more: https://go.microsoft.com/fwlink/?linkid=870924
Comment:
    Partial DEOB $13,339.40 WP#26FRF32762</t>
      </text>
    </comment>
    <comment ref="I6" authorId="1" shapeId="0" xr:uid="{A0A3CE0B-0F5D-461D-8868-1E8E90DC0AC6}">
      <text>
        <t>[Threaded comment]
Your version of Excel allows you to read this threaded comment; however, any edits to it will get removed if the file is opened in a newer version of Excel. Learn more: https://go.microsoft.com/fwlink/?linkid=870924
Comment:
    Changed from 3266 to 3278 in FY24</t>
      </text>
    </comment>
    <comment ref="R6" authorId="2" shapeId="0" xr:uid="{87E605A4-84B7-4788-94F1-44676873EC4C}">
      <text>
        <t xml:space="preserve">[Threaded comment]
Your version of Excel allows you to read this threaded comment; however, any edits to it will get removed if the file is opened in a newer version of Excel. Learn more: https://go.microsoft.com/fwlink/?linkid=870924
Comment:
    Deob WP of WP24FRF32784
</t>
      </text>
    </comment>
    <comment ref="I7" authorId="3" shapeId="0" xr:uid="{B6A64A3A-D6DC-4C94-94A4-1E42AB7C762A}">
      <text>
        <t>[Threaded comment]
Your version of Excel allows you to read this threaded comment; however, any edits to it will get removed if the file is opened in a newer version of Excel. Learn more: https://go.microsoft.com/fwlink/?linkid=870924
Comment:
    Danette M. Kluever:
Moved from BA3266 to BA3278 in SFY24</t>
      </text>
    </comment>
    <comment ref="K7" authorId="4" shapeId="0" xr:uid="{22BB0E79-3F7D-4220-BAB5-4DC424770E1C}">
      <text>
        <t>[Threaded comment]
Your version of Excel allows you to read this threaded comment; however, any edits to it will get removed if the file is opened in a newer version of Excel. Learn more: https://go.microsoft.com/fwlink/?linkid=870924
Comment:
    Danette M. Kluever:
NOA=CAT24 in error, ACR#1-made correction to CAT34</t>
      </text>
    </comment>
    <comment ref="R7" authorId="5" shapeId="0" xr:uid="{6A52D172-3AC8-488F-8ADE-F4D3FDE31F9F}">
      <text>
        <t xml:space="preserve">[Threaded comment]
Your version of Excel allows you to read this threaded comment; however, any edits to it will get removed if the file is opened in a newer version of Excel. Learn more: https://go.microsoft.com/fwlink/?linkid=870924
Comment:
    Deob WP 24FRF32787
</t>
      </text>
    </comment>
    <comment ref="I8" authorId="6" shapeId="0" xr:uid="{13D9C18F-E06D-49AB-A666-8B9A6E7E2756}">
      <text>
        <t>[Threaded comment]
Your version of Excel allows you to read this threaded comment; however, any edits to it will get removed if the file is opened in a newer version of Excel. Learn more: https://go.microsoft.com/fwlink/?linkid=870924
Comment:
    Danette M. Kluever:
Moved from BA3266 to BA3278 in SFY24</t>
      </text>
    </comment>
    <comment ref="K8" authorId="7" shapeId="0" xr:uid="{55137BD7-99BE-4972-9F18-1F3FD972C9AB}">
      <text>
        <t>[Threaded comment]
Your version of Excel allows you to read this threaded comment; however, any edits to it will get removed if the file is opened in a newer version of Excel. Learn more: https://go.microsoft.com/fwlink/?linkid=870924
Comment:
    Danette M. Kluever:
NOA=CAT24 in error, ACR#1-made correction to CAT34</t>
      </text>
    </comment>
    <comment ref="R8" authorId="8" shapeId="0" xr:uid="{1D96B0B3-5655-42EC-9513-05183C85A57C}">
      <text>
        <t xml:space="preserve">[Threaded comment]
Your version of Excel allows you to read this threaded comment; however, any edits to it will get removed if the file is opened in a newer version of Excel. Learn more: https://go.microsoft.com/fwlink/?linkid=870924
Comment:
    DeOb WP24FRF32786
</t>
      </text>
    </comment>
    <comment ref="I10" authorId="9" shapeId="0" xr:uid="{2B5A65CE-E996-461A-9A88-BA896F9232A6}">
      <text>
        <t>[Threaded comment]
Your version of Excel allows you to read this threaded comment; however, any edits to it will get removed if the file is opened in a newer version of Excel. Learn more: https://go.microsoft.com/fwlink/?linkid=870924
Comment:
    Change to BA3278 eff FY24, no Exp in FY23 to BA3266</t>
      </text>
    </comment>
    <comment ref="I11" authorId="10" shapeId="0" xr:uid="{9486F37B-C78A-4A50-ABC8-A53F89004058}">
      <text>
        <t>[Threaded comment]
Your version of Excel allows you to read this threaded comment; however, any edits to it will get removed if the file is opened in a newer version of Excel. Learn more: https://go.microsoft.com/fwlink/?linkid=870924
Comment:
    Change to BA3278 eff FY24, no Exp in FY23 to BA3266</t>
      </text>
    </comment>
    <comment ref="R11" authorId="11" shapeId="0" xr:uid="{9F232AA8-E4E3-4707-B442-134C803F37CF}">
      <text>
        <t xml:space="preserve">[Threaded comment]
Your version of Excel allows you to read this threaded comment; however, any edits to it will get removed if the file is opened in a newer version of Excel. Learn more: https://go.microsoft.com/fwlink/?linkid=870924
Comment:
    SFY 24 De-Ob #24FRF32785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tc={8647723B-E99C-4552-AE2F-1251A63C50FF}</author>
    <author>tc={75B48F01-3AE2-4E05-902A-6121DCA55E9A}</author>
    <author>tc={986FAD69-CC9A-46B7-88E8-5A3B894E8993}</author>
    <author>tc={318C73F1-EAD3-4189-98BE-655544454A4B}</author>
    <author>tc={51264944-D7A2-438D-A037-C10850DAD03D}</author>
    <author>tc={BBDDF9C8-5D9D-406C-AD80-4321A49A8914}</author>
    <author>tc={64D5428E-E4F7-4AED-AD36-F0CD2AB10239}</author>
    <author>tc={45EAFC9A-0B74-46AE-A6A4-999A27120897}</author>
    <author>tc={9EDECE77-55CC-4C0C-8C5E-DCFAA7BB3E7B}</author>
  </authors>
  <commentList>
    <comment ref="R7" authorId="0" shapeId="0" xr:uid="{8647723B-E99C-4552-AE2F-1251A63C50FF}">
      <text>
        <t xml:space="preserve">[Threaded comment]
Your version of Excel allows you to read this threaded comment; however, any edits to it will get removed if the file is opened in a newer version of Excel. Learn more: https://go.microsoft.com/fwlink/?linkid=870924
Comment:
    Deob WP 24FR316502
</t>
      </text>
    </comment>
    <comment ref="Q8" authorId="1" shapeId="0" xr:uid="{75B48F01-3AE2-4E05-902A-6121DCA55E9A}">
      <text>
        <t>[Threaded comment]
Your version of Excel allows you to read this threaded comment; however, any edits to it will get removed if the file is opened in a newer version of Excel. Learn more: https://go.microsoft.com/fwlink/?linkid=870924
Comment:
    Pending Grant Realignment WP for $2,896,697 reduction in authority (DK)
Reply:
    $5,000,000 - transferred to DCFS under WP# 23FR314521</t>
      </text>
    </comment>
    <comment ref="R8" authorId="2" shapeId="0" xr:uid="{986FAD69-CC9A-46B7-88E8-5A3B894E8993}">
      <text>
        <t>[Threaded comment]
Your version of Excel allows you to read this threaded comment; however, any edits to it will get removed if the file is opened in a newer version of Excel. Learn more: https://go.microsoft.com/fwlink/?linkid=870924
Comment:
    Agency Submitted DeOb for $2,896,697 that was signed off.  Agency sent email to the COVID19 mailbox Requesting to Retract DeOB.  Dan told Amy @ ARPA Admin Mtng 3.14.24 and she is checking with Jim Wells. 
Reply:
    $2.8 retracted but agency is giving up 1.9 per J. Wells. WP 24FR316504 (-903,303) combined with an L01 of 3,945,507 reduces the award by the 1.9 million.
Reply:
    WP #24FR316504 $903,303</t>
      </text>
    </comment>
    <comment ref="T12" authorId="3" shapeId="0" xr:uid="{318C73F1-EAD3-4189-98BE-655544454A4B}">
      <text>
        <t>[Threaded comment]
Your version of Excel allows you to read this threaded comment; however, any edits to it will get removed if the file is opened in a newer version of Excel. Learn more: https://go.microsoft.com/fwlink/?linkid=870924
Comment:
    Partial Deob $288,337.50 Transfer to Jail Based 24JBMHP01</t>
      </text>
    </comment>
    <comment ref="P17" authorId="4" shapeId="0" xr:uid="{51264944-D7A2-438D-A037-C10850DAD03D}">
      <text>
        <t>[Threaded comment]
Your version of Excel allows you to read this threaded comment; however, any edits to it will get removed if the file is opened in a newer version of Excel. Learn more: https://go.microsoft.com/fwlink/?linkid=870924
Comment:
    Deob WP 24FRF36453</t>
      </text>
    </comment>
    <comment ref="R17" authorId="5" shapeId="0" xr:uid="{BBDDF9C8-5D9D-406C-AD80-4321A49A8914}">
      <text>
        <t>[Threaded comment]
Your version of Excel allows you to read this threaded comment; however, any edits to it will get removed if the file is opened in a newer version of Excel. Learn more: https://go.microsoft.com/fwlink/?linkid=870924
Comment:
    De-Obligation #24FR132776 $744,094 - June 2024 IFC 
Reply:
    Agency De-Ob WP# 24FRF36454</t>
      </text>
    </comment>
    <comment ref="M18" authorId="6" shapeId="0" xr:uid="{64D5428E-E4F7-4AED-AD36-F0CD2AB10239}">
      <text>
        <t>[Threaded comment]
Your version of Excel allows you to read this threaded comment; however, any edits to it will get removed if the file is opened in a newer version of Excel. Learn more: https://go.microsoft.com/fwlink/?linkid=870924
Comment:
    Supplemental#1=$2,939,148 &amp; Supplemental #2 =$221,588.96 Supplemental #3= $530,360.14
Reply:
    Supplemental #2+#3 = $751,950.10 26FRF31613 FEB-IFC</t>
      </text>
    </comment>
    <comment ref="R19" authorId="7" shapeId="0" xr:uid="{45EAFC9A-0B74-46AE-A6A4-999A27120897}">
      <text>
        <t>[Threaded comment]
Your version of Excel allows you to read this threaded comment; however, any edits to it will get removed if the file is opened in a newer version of Excel. Learn more: https://go.microsoft.com/fwlink/?linkid=870924
Comment:
    WP#24FR132777 De-Obligation $2,070,848 June 2024 IFC 
Reply:
    Agency De-Ob WP#24FRF31618 - Revised to $593,974</t>
      </text>
    </comment>
    <comment ref="V19" authorId="8" shapeId="0" xr:uid="{9EDECE77-55CC-4C0C-8C5E-DCFAA7BB3E7B}">
      <text>
        <t xml:space="preserve">[Threaded comment]
Your version of Excel allows you to read this threaded comment; however, any edits to it will get removed if the file is opened in a newer version of Excel. Learn more: https://go.microsoft.com/fwlink/?linkid=870924
Comment:
    WP#24FRF31618 June 2024 IFC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tc={19AFEA5F-DB08-4C00-BC75-3B384213F596}</author>
    <author>tc={47ACBCF7-C5C6-4F8B-B27D-C19E4E728278}</author>
    <author>tc={B43EBC68-7D6C-4E33-A303-510CCA5E91D6}</author>
    <author>tc={CBABB0A0-01F9-43DA-8CB2-A935745BFBB0}</author>
  </authors>
  <commentList>
    <comment ref="L8" authorId="0" shapeId="0" xr:uid="{19AFEA5F-DB08-4C00-BC75-3B384213F596}">
      <text>
        <t>[Threaded comment]
Your version of Excel allows you to read this threaded comment; however, any edits to it will get removed if the file is opened in a newer version of Excel. Learn more: https://go.microsoft.com/fwlink/?linkid=870924
Comment:
    Issued NEW NOA for SFY24 L01 $1,430,349+31,036 = $1,461,385</t>
      </text>
    </comment>
    <comment ref="N12" authorId="1" shapeId="0" xr:uid="{47ACBCF7-C5C6-4F8B-B27D-C19E4E728278}">
      <text>
        <t>[Threaded comment]
Your version of Excel allows you to read this threaded comment; however, any edits to it will get removed if the file is opened in a newer version of Excel. Learn more: https://go.microsoft.com/fwlink/?linkid=870924
Comment:
    L01</t>
      </text>
    </comment>
    <comment ref="Q12" authorId="2" shapeId="0" xr:uid="{B43EBC68-7D6C-4E33-A303-510CCA5E91D6}">
      <text>
        <t xml:space="preserve">[Threaded comment]
Your version of Excel allows you to read this threaded comment; however, any edits to it will get removed if the file is opened in a newer version of Excel. Learn more: https://go.microsoft.com/fwlink/?linkid=870924
Comment:
    FY23 not spent and not balanced foward
</t>
      </text>
    </comment>
    <comment ref="T13" authorId="3" shapeId="0" xr:uid="{CBABB0A0-01F9-43DA-8CB2-A935745BFBB0}">
      <text>
        <t>[Threaded comment]
Your version of Excel allows you to read this threaded comment; however, any edits to it will get removed if the file is opened in a newer version of Excel. Learn more: https://go.microsoft.com/fwlink/?linkid=870924
Comment:
    Pending Deob $200,000</t>
      </text>
    </comment>
  </commentList>
</comments>
</file>

<file path=xl/sharedStrings.xml><?xml version="1.0" encoding="utf-8"?>
<sst xmlns="http://schemas.openxmlformats.org/spreadsheetml/2006/main" count="976" uniqueCount="221">
  <si>
    <t>SPEND PLAN FOR REMAINDER OF THE PROJECT PERIOD</t>
  </si>
  <si>
    <t>Removed links to Master Workbook for SFY Amounts Spent = TOTAL REIMBURSEMENTS AS OF 1/15/2026</t>
  </si>
  <si>
    <t>RFR'S RECEIVED THROUGH 1/15/2026</t>
  </si>
  <si>
    <t>Agency Number</t>
  </si>
  <si>
    <t>Agency</t>
  </si>
  <si>
    <t>Allocation Number</t>
  </si>
  <si>
    <t>Recipient Name</t>
  </si>
  <si>
    <t>Sub Recipient</t>
  </si>
  <si>
    <t>Project Description</t>
  </si>
  <si>
    <t>Start Date</t>
  </si>
  <si>
    <t>End Date</t>
  </si>
  <si>
    <t>BA#</t>
  </si>
  <si>
    <t>CAT(s)</t>
  </si>
  <si>
    <t>1327
CAT</t>
  </si>
  <si>
    <t>Original NOA
Amount</t>
  </si>
  <si>
    <t>Supplemental
 Allocations
NOA
Amount</t>
  </si>
  <si>
    <t>Amendment(s)</t>
  </si>
  <si>
    <t>TOTAL REVISED ALLOCATION
Original NOA + Supplemental + Amendments</t>
  </si>
  <si>
    <t>SFY 22 Deobligations</t>
  </si>
  <si>
    <t>SFY 23 Deobligations</t>
  </si>
  <si>
    <t>SFY 24 Deobligations</t>
  </si>
  <si>
    <t>SFY 25 Deobligations</t>
  </si>
  <si>
    <t>SFY 26 Deobligations</t>
  </si>
  <si>
    <t>SFY 27 Deobligations</t>
  </si>
  <si>
    <t>Total Deobligations 
(CALCULATED COLUMN)</t>
  </si>
  <si>
    <t>TOTAL
ALLOCATION
(CALCULATED COLUMN)</t>
  </si>
  <si>
    <t>SFY21
Amount 
Spent</t>
  </si>
  <si>
    <t>SFY22
Amount 
Spent</t>
  </si>
  <si>
    <t>SFY23
Amount 
Spent</t>
  </si>
  <si>
    <t>SFY24
Amount 
Spent</t>
  </si>
  <si>
    <t>SFY25
Amount 
Spent</t>
  </si>
  <si>
    <t>SFY26
Amount 
Spent</t>
  </si>
  <si>
    <t>SFY27
Amount 
Spent</t>
  </si>
  <si>
    <t>TOTAL REIMBURSEMENTS PAID PER RFR'S RECEIVED BY SUBRECIPIENTS</t>
  </si>
  <si>
    <t>TOTAL UNSPENT BALANCE
 GFO 
PAYMENT
LEDGERS</t>
  </si>
  <si>
    <t>% Spent</t>
  </si>
  <si>
    <t>PENDING 
RFR'S SUBMITTED AFTER 1/15/2026 FOR JULY-DEC</t>
  </si>
  <si>
    <t>FINAL 
CLOSE-OUT</t>
  </si>
  <si>
    <t>SPEND PLAN
TOTAL</t>
  </si>
  <si>
    <t>CK TOTALS
(SPEND PLAN TOTAL CANNOT EXCEED UNSPENT BALANCE)</t>
  </si>
  <si>
    <t xml:space="preserve">STATUS:
*ON-TRACK
*DELAYS (explain)
*SAVINGS IDENTIFIED
** NO RESPONSE </t>
  </si>
  <si>
    <t>SUB-RECIPIENT COMMENTS:</t>
  </si>
  <si>
    <t>400</t>
  </si>
  <si>
    <t>DHHS</t>
  </si>
  <si>
    <t>23EIPRC01</t>
  </si>
  <si>
    <t>DHHS- DO</t>
  </si>
  <si>
    <t>N/A</t>
  </si>
  <si>
    <t>EARLY INTERVENTION PERSONNEL CENTER</t>
  </si>
  <si>
    <t>23NVTRI01</t>
  </si>
  <si>
    <t>NEVADA TRANSPLANT INSTITUTE</t>
  </si>
  <si>
    <t>402</t>
  </si>
  <si>
    <t>ADSD</t>
  </si>
  <si>
    <t>23CMSMI01</t>
  </si>
  <si>
    <t>DHHS-ADSD</t>
  </si>
  <si>
    <t>Case Management System Modernization/Integration</t>
  </si>
  <si>
    <t>23FCWPL01</t>
  </si>
  <si>
    <t xml:space="preserve">Personal Care Workforce Impact			</t>
  </si>
  <si>
    <t>23HCAPD01</t>
  </si>
  <si>
    <t>Home/Chore Assistance for people with Disabilities</t>
  </si>
  <si>
    <t>23INHSV01</t>
  </si>
  <si>
    <t>In home Services, home modifications, assistive tech</t>
  </si>
  <si>
    <t>23RFPCN01</t>
  </si>
  <si>
    <t>RFP Consultant for Intensive Behavioral Support Homes</t>
  </si>
  <si>
    <t>23RSBEX01</t>
  </si>
  <si>
    <t>Residential Setting Beds Expansion</t>
  </si>
  <si>
    <t>23SVNEX01</t>
  </si>
  <si>
    <t xml:space="preserve"> Service Navigation Expansion</t>
  </si>
  <si>
    <t>403</t>
  </si>
  <si>
    <t>DHCFP-NVHA</t>
  </si>
  <si>
    <t>23CHPAC01</t>
  </si>
  <si>
    <t>DHHS-DHCFP</t>
  </si>
  <si>
    <t xml:space="preserve">Contractor Hospital Provider Assessment and Managed Care State Program </t>
  </si>
  <si>
    <t>DHCFP</t>
  </si>
  <si>
    <t>23DHPIS01</t>
  </si>
  <si>
    <t xml:space="preserve">Dental Oral Health Program in Schools </t>
  </si>
  <si>
    <t>23SYUIM01</t>
  </si>
  <si>
    <t xml:space="preserve">System Updated &amp; Improvement </t>
  </si>
  <si>
    <t>406</t>
  </si>
  <si>
    <t>DPBH</t>
  </si>
  <si>
    <t>22BHCGM01</t>
  </si>
  <si>
    <t>DHHS-DPBH</t>
  </si>
  <si>
    <t>CONTRACT MANAGEMENT SYSTEM</t>
  </si>
  <si>
    <t>22BHSTF01b-c</t>
  </si>
  <si>
    <t>DPBH STAFFING for ARPA Reporting-SFY24 &amp; SFY25</t>
  </si>
  <si>
    <t>01 /
18</t>
  </si>
  <si>
    <t>23CFAEP01</t>
  </si>
  <si>
    <t>EPIDEMIOLOGIST</t>
  </si>
  <si>
    <t>23CSSBC01</t>
  </si>
  <si>
    <t>CRISIS STABILIZATION  CENTER</t>
  </si>
  <si>
    <t>23EMGCS01</t>
  </si>
  <si>
    <t>DHHS-DPBH-CRISIS RESPONSE</t>
  </si>
  <si>
    <t>EMERGENCY CRISIS CARE (Transfer 5 million to DCFS)</t>
  </si>
  <si>
    <t>23GIDTR01</t>
  </si>
  <si>
    <t>GENOMIC INFECTIOUS DISEASE TRACKING</t>
  </si>
  <si>
    <t xml:space="preserve">DPBH </t>
  </si>
  <si>
    <t>23HCWSS02</t>
  </si>
  <si>
    <t>Health Care Workforce Scholarships (Transferred from DHCFP)</t>
  </si>
  <si>
    <t>23IBCLC02</t>
  </si>
  <si>
    <t xml:space="preserve">International Board Certified Lactation Consultants </t>
  </si>
  <si>
    <t>23LCCMS01</t>
  </si>
  <si>
    <t>Lakes Crossing Camera System</t>
  </si>
  <si>
    <t>23LRHA01</t>
  </si>
  <si>
    <t>Local &amp; Regional Authorities Washoe, Carson, Churchill &amp; SNHD (Merged)</t>
  </si>
  <si>
    <t>23NBSTR01</t>
  </si>
  <si>
    <t>UNR NSPHL Newborn</t>
  </si>
  <si>
    <t>23RCCLV01</t>
  </si>
  <si>
    <t>RECUPERATIVE CARE CENTER EXPANSION</t>
  </si>
  <si>
    <t>23RHSCC01</t>
  </si>
  <si>
    <t>Reproductive Health Services</t>
  </si>
  <si>
    <t>01, 15</t>
  </si>
  <si>
    <t>24FPROS01</t>
  </si>
  <si>
    <t>Forensic Professional Services - Lake Crossing</t>
  </si>
  <si>
    <t>24JBMHP01</t>
  </si>
  <si>
    <t>Forensic Jail Based Mental Health Programs (SNAMHS/NNAMHS)</t>
  </si>
  <si>
    <t>24SNFLT01</t>
  </si>
  <si>
    <t>Skilled Nursing Facility - Forensic Long-Term Care</t>
  </si>
  <si>
    <t>407</t>
  </si>
  <si>
    <t>DWSS</t>
  </si>
  <si>
    <t>23ACNVM01</t>
  </si>
  <si>
    <t>DHHS-DSS</t>
  </si>
  <si>
    <t>ACCESS NEVADA MODERNIZATION 
No Wrong Door Single Web Portal</t>
  </si>
  <si>
    <t>23CHDIF01</t>
  </si>
  <si>
    <t>CHILD CARE INFRASTRUCTURE</t>
  </si>
  <si>
    <t>DSS</t>
  </si>
  <si>
    <t>23NOMAD01</t>
  </si>
  <si>
    <t>NOMADS MODERNIZATION</t>
  </si>
  <si>
    <t>24SUEBT01</t>
  </si>
  <si>
    <t>DWSS Summer EBT</t>
  </si>
  <si>
    <t>409</t>
  </si>
  <si>
    <t>DCFS</t>
  </si>
  <si>
    <t>22DSWHD01</t>
  </si>
  <si>
    <t>DHHS-DCFS-SNCAS</t>
  </si>
  <si>
    <t>DESERT WILLOW HARDENING
CIP#: 22-A012 Ceiling Replacement</t>
  </si>
  <si>
    <t>22DSWHD01a</t>
  </si>
  <si>
    <t>DESERT WILLOW HARDENING
 CIP Project#: 23-A005 Anti-Ligature &amp; Unit Hardening</t>
  </si>
  <si>
    <t>23CLKCW01</t>
  </si>
  <si>
    <t>DHHS-DCFS</t>
  </si>
  <si>
    <t>CLARK COUNTY CHILD WELFARE</t>
  </si>
  <si>
    <t>23EMGCS02</t>
  </si>
  <si>
    <t>EMERGENCY FUNDING FOR CHILD AND FAMILY SERVICES</t>
  </si>
  <si>
    <t>23EMPLR02</t>
  </si>
  <si>
    <t>EMERGENCY AND PLANNED RESPITE</t>
  </si>
  <si>
    <t>3146-FY24</t>
  </si>
  <si>
    <t>01
50</t>
  </si>
  <si>
    <t>23FTFPS01</t>
  </si>
  <si>
    <t>FAMILY TO PEER SUPPORT</t>
  </si>
  <si>
    <t>3145
3146-FY24</t>
  </si>
  <si>
    <t>23IFIHS01</t>
  </si>
  <si>
    <t xml:space="preserve"> INTENSIVE FAMILY IN HOME SERVICES</t>
  </si>
  <si>
    <t>01
41</t>
  </si>
  <si>
    <t>23LVSRC01</t>
  </si>
  <si>
    <t>VEGAS STRONG RESILIENCY CENTER</t>
  </si>
  <si>
    <t>23NWFEO01</t>
  </si>
  <si>
    <t>Nursing Workforce Educational Opportunity</t>
  </si>
  <si>
    <t>23SUPST3145</t>
  </si>
  <si>
    <t>ARPA OVERSIGHT (8 FTE Support Positions)</t>
  </si>
  <si>
    <t>01, 
43</t>
  </si>
  <si>
    <t>23SUPST3146</t>
  </si>
  <si>
    <t>CHILDRENS BEHAVIORAL HEALTH AUTHORITY (8 FTE Support Positions)</t>
  </si>
  <si>
    <t>23UNITY01</t>
  </si>
  <si>
    <t>UNITY Replacement</t>
  </si>
  <si>
    <t>23WINIC01</t>
  </si>
  <si>
    <t>Wraparound Authority/ intensive Care Coordination</t>
  </si>
  <si>
    <t>3145-FY23, 3146-FY24</t>
  </si>
  <si>
    <t>01, 40</t>
  </si>
  <si>
    <t>24CAMRP01</t>
  </si>
  <si>
    <t>Camera Security Replacement Project</t>
  </si>
  <si>
    <t>24CMH9A01</t>
  </si>
  <si>
    <t>CAMPUS FOR HOPE (formerly DCFS Bldg. 9 renovations - West Charleston Children's Mental Health)</t>
  </si>
  <si>
    <t>On-track</t>
  </si>
  <si>
    <t>Note that the end date in this file was incorrect.  NOA says 12/31/2026. Projection methodology:
- Guidesoft Inc MSA Contractors  based on monthly average through August 2026, with reduced hours for Sept.-Nov. 2026. 
- O365 based on monthly average costs.
- Insight Public Sector based on contract deliverables.
- Wellsky based on contract deliverables.</t>
  </si>
  <si>
    <t>Projection methodology:
- Public Health Supportive based on project plan.
- KPS3 based on project deliverable schedule.</t>
  </si>
  <si>
    <t>Projection methodology: Reviewed current years budget allocations and programs to calculate the amount needed per month based on expected expenditures</t>
  </si>
  <si>
    <t>- Donor Transplant Testing Facility is now complete and testing donors. The lab has been surveyed by the FDA and CLIA. 
- Transplant Center EMR System (Pheonix module) has been implemented and is utilized by Renown.
- Donor Care Unit- Is currently being renovated and expected date has been moved to March 2026.
- Nevada Transplant Clinic- renovation drawings have been submitted to the City of Las Vegas for approval. Projected date for project completion would be late July or August 2026.</t>
  </si>
  <si>
    <t> </t>
  </si>
  <si>
    <t>On Track</t>
  </si>
  <si>
    <t>Project performance period extended for continued work and support of completing project tasks.  System configuration updates are required for templates and documents. Some updates to functionality as well. Spend plan calculated on equal amounts for remaining months of project.</t>
  </si>
  <si>
    <t>Project performance period extended for continued work and support of completing project tasks. Project on-track to fully expend all funds. Spend plan calculated on equal amounts for remaining months of project.</t>
  </si>
  <si>
    <t>Project on track to fully spend down by end of performance period. Spend plan calculated on equal amounts for remaining months of project.</t>
  </si>
  <si>
    <t>Healthy Communities Coalition 22 scholarship recipients. 20 CHW I, 2 CHW II certifications. UNR Larson Institute 20 scholarship recipients CHW, 15 English Doula, 17 Spanish Doula scholarship recipients, 20 scholarship applicants accepted training scholarships. UNR Integration 24 fellowships. Nevada Primary Care Association 11 Scholarships, 13 PCP's. High Sierra AHEC 15 scholarships for fall semester. UNR CASAT Supervision: 1 new licensed PRSS-S; 4 new licensed ADG Supervisors. UNLV BeHere 23 scholarship recipients. UNR Resilience 9 total enrollments. 2 - Public Health Certificates. 7- Full time online MPH program.
All recipients indicate they will be able to offer the remaining scholarships and fully expend the remaining funds. Projections based on historical data and needed dispursement for remaining project period.</t>
  </si>
  <si>
    <t xml:space="preserve"> Out of 52 scholarship recipients, thirteen people completed their entire certification courses. Three people are completed with the course and awaiting to take their exams. 18 scholarships were distributed from May 1, 2025, to September 1, 2025.  Remaining funds expected to be fully expended with minor fluctuations in monthly totals.</t>
  </si>
  <si>
    <t>Spend down is on track; 3 of the 5 remaining disorders will be added to the panel after the building certificate of occupancy is granted in October 2026 as equipment can't be set up until they are in the new building. NSPHL states they will completely spend down and have a year to expend the final 18% of the award remaining.</t>
  </si>
  <si>
    <t>ARPA funding supports subgrants to three other reproductive health service programs, Carson City Health and Human Services (CCHHS), Central Nevada Health District (CNHD), and Northern Nevada Public Health (NNPH). All three subgrantees have submitted spend plans for the entirety of the project period; spend plans submitted are based by SFY, hence the projections have been broken out monthly based on subrecipients projections. Spend plans ascertain they will fully expend their award amounts by the end of the project period, December 31, 2026. Additionally, ARPA is being highly depended on during these unknowing moments for CHN and the sub awardees as it still remains unclear as to whether Title X will continue to fully fund programs, although Title X has released the second NOGAs for this project year (from April 1, 2025 – March 31, 2026).</t>
  </si>
  <si>
    <t>Contracted clinical staff continue to serve the program in way of evaluations and competency based services. The projections are based on the same number of contractors working the same number of hours each week. Program leadership and fiscal management work closely together to ensure allocation is utilized entirely within the performance period.</t>
  </si>
  <si>
    <t>Excess funds identified in the amount of $2,939,148 have already been de-obligated. Remaining funds are expected to be fully expended, in equal parts for remaining months of project period.</t>
  </si>
  <si>
    <t>ON TRACK</t>
  </si>
  <si>
    <t>This project is on track. The provided spend plan addresses the contractual deliverables for maintenance and operations. The Project management team addressing production defects and language translation activities as needed related to Access Nevada.  MSA roll off planning is underway. Planned completion date related to deliverables addressing maintenance and operation efforts are contractually obligated through June 30, 2026.</t>
  </si>
  <si>
    <t>On-Track, timing of some costs is dependent on timely billings from other agencies.</t>
  </si>
  <si>
    <t xml:space="preserve">Payments went out as planned as the project met the key deliverables tied to payment. No change orders impacted scope, cost, or schedule which remains aligned to the approved funding request. Funds are still being utilized to support ongoing M&amp;O and other EBT-related costs associated with the 2025 program issuance and administration. We are also anticipating additional invoicing from the system enhancement vendor and FIS for benefit issuances and related services that occurred through October. Summer EBT projections also include, rent charges and the division's federally approved Cost Allocated payroll and operating costs in support of SEBT. ARPA funds are projected to be expended by 02/01/2026, accounting for any delays in receipt of invoices or delays in cost allocation. October invoice in the amount of $146,687.50 has been received from Deloitte but not fully processed and closed in EPro. Still pending Deloitte's invoices for M&amp;O month's of November, December. The EBT vendor FIS' invoice #1004349939 (dated July 16, 2025; due August 16, 2025) for $96,871.08 is stale dated and will be paid in the next 60 days. </t>
  </si>
  <si>
    <t>On track</t>
  </si>
  <si>
    <t>Project is pending de-obligation of the remaining balance of $1,312.98</t>
  </si>
  <si>
    <t>This project will build buildings on the Campus for Hope for behavioral health services.  The timeline for this project is still being worked on in the contract. The total project is $17.5M of which the ARPA funds will be used first to pay. Projections are based on the total amount of this ARPA project being evenly distributed across the performance period.   </t>
  </si>
  <si>
    <t>Projection methodology:
- Acumen Fiscal Agent based on monthly projections for self-directed service support (Jan.-Dec. 2025 reflects approved services, monthly average used for Dec. 2025-Jun. 2026)
- Washoe County based on projections for direct services,  reflects the monthly average used for Dec. 2025-Feb. 2026)
- Jewish Family Service Agency based on projections for monthly direct service and administrative cost (amount varies by month)</t>
  </si>
  <si>
    <t>This should be DHS-ADSD not DHHS-DO. 
Projection methodology: 
Monthly Bus Productivity Suite costs plus average monthly cost per the TEJR (temporary employee) for Mar through June (Jan/Feb are based on projected spend for the month). The temporary employee hours will cease once that contracted amount is spent in FY26.</t>
  </si>
  <si>
    <t>Projection methodology:
-Northern Nevada Bed Bug Relief based on continued costs for direct services (remaining funding allocated across three months, Dec 2025 - May 2026)</t>
  </si>
  <si>
    <t>Projection methodology:
-Quinns Desert Home Inc. reflects completed activities through Dec. 2025.
- EKODS based on project schedule (monthly average for remaining months of project Jan - Feb 2026)</t>
  </si>
  <si>
    <t>Projection methodology:
- Money Management International based on monthly contract amount.
- Jewish Family Service Agency, Lyon County, and Access to Healthcare Network based on remaining balance and award, split across remaining months.
- KPS3 based on contract deliverables (Start date for additional deliverable in Jan. 2026, continuing through Jun. 2026.)
- Nevada Public Health Foundation based on contract deliverables (Higher amount in Apr. and Jun. 2026, other months in project period at $10k.)</t>
  </si>
  <si>
    <t>Delays</t>
  </si>
  <si>
    <t>The construction project is expected to begin in March. State Public Works anticipates issuing equal monthly billings starting in April and fully expending the funds by the end of December. According to the current project schedule, the work remains on track with a projected completion date of December 2026.</t>
  </si>
  <si>
    <t xml:space="preserve">This project allocates ARPA funds to develop the new Clark County Clinical and Community Services (CCS) department. The new department represents a major system transformation for Clark County, establishing a dedicated division to support the implementation of Family First Prevention Services Act (FFPSA), Differential Response, and enhanced Medicaid-funded services for children with behavioral health needs. This plan aligns expenditures with operational readiness and contract execution timelines. Spending between January 2026 – June 2026 emphasizes infrastructure, IT systems, services restructure and hiring staff and training investments required to launch and sustain the department. The County anticipates full drawdown of the $3.3 million by June 30, 2026.  Clark County is utilizing this ARPA project to set up a Qualified Residential Treatment Program (QRTP) which provides non-foster family home setting that is intended for children and youth with behavioral health challenges. Projections from February through June 2026 are based on current spending trends. </t>
  </si>
  <si>
    <t>This project funds a portion of the contract with Magellan, which is a care management entity  to support intensive care coordination for youth that have been relinquished by their parents due to the intensity of their needs, those at extremely high risk of relinquishment, and those living in emergency shelters or temporary foster and alternative living arrangements. Projections based on the adjusted monthly flat fee of the Magellan contract of $200,000 per month from January 2026 to April 2026 with final drawdown in May 2026.</t>
  </si>
  <si>
    <t>This project funds a portion of the contract with Magellan, which is a care management entity  to support intensive care coordination for youth that have been relinquished by their parents due to the intensity of their needs, those at extremely high risk of relinquishment, and those living in emergency shelters or temporary foster and alternative living arrangements. Projections based on average drawdown from previous months.</t>
  </si>
  <si>
    <t>This project funds NV PEP, Inc to provide Family Peer to Peer Support Services to children with sever emotional disabilities and their families. This project is projected to be fully expended by May 2026. The amounts projected each month are based on current spending trends.</t>
  </si>
  <si>
    <t>This project funds a portion of the contract with Magellan, which is a care management entity  to support intensive care coordination for youth that have been relinquished by their parents due to the intensity of their needs, those at extremely high risk of relinquishment, and those living in emergency shelters or temporary foster and alternative living arrangements. In consultation with Nevada Medicaid, DCFS and Magellan, the amount of $1,250,000 was de-obligated through WP 26FRF3146 at the October IFC due to projections. Projections based on the average monthly invoices of $95,000 with completion in December 2026.</t>
  </si>
  <si>
    <t>The Resiliency and Justice Center has multiple funding sources and includes funding from DCFS, Clark County and GFO funding. Funds are being spent based on priority on when the funds expire.  Senate Bill 341 of the 2023 Legislative Session provided $4m in funding for this project that was to be expended by June 30, 2025. Grant funds from Clark County of $2m are to be expended by 12/31/25 – Legal Aid is billing to that project until those funds are expended.
This construction project has multiple funding sources that have varying deadlines for funds to be expended: ARPA funds of $6.5m from DCFS and $2m from GFO – these funds are available until 12/31/26 and are anticipated to be fully expended by October 2026– these amounts are projected and will vary from month to month based on work completed and invoiced by vendors.</t>
  </si>
  <si>
    <t xml:space="preserve">DCFS staff are in contact with UNR's grant staff to ensure billing is up to date. Currently, UNR has the current cohort of 46 students enrolled for Spring 26, 32 students for Summer 2026 and 30 students for Fall 2026. In addition, UNR will be awarding scholarships to 40-60 additional students between Fall 2025-Fall 2026 semesters. Projections are based on scholarship support for APRN students by semester. </t>
  </si>
  <si>
    <t xml:space="preserve">This project oversees ARPA projects to provide support in the areas of fiscal, reporting, subrecipient monitoring, grants management, contract management and human resources to comply with federal and state regulations. The amounts projected each month are based on current spending trends. Work program 26FRF31453 was approved to balance forward the ARPA funding from SFY25 to SFY26. A Request for Reimbursement for $339,151 in staff salaries is included in the projection for February 2026. </t>
  </si>
  <si>
    <t>This project supports contractors to provide children's behavioral health support for the division.  The amounts projected each month are based on current spending trends.</t>
  </si>
  <si>
    <t>DCFS received federal approval from the Children's Bureau on 9/16/25 to move forward with the As-Needed Advance Planning Document (APD) to procure design, develop and implement (DDI) services for a Comprehensive Child Welfare Information System (CCWIS). This approval was necessary to move forward with the Request for Proposal (RFP) to replace the existing UNITY system. DCFS has completed the procurement process and selected a vendor (Deloitte) to design, develop and implement a statewide CCWIS to replace the legacy UNITY system, which was approved at the December BOE. DCFS awaits final approval of the APD document to receive federal Title IV-E funds to complete the project. Monthly spending projections are estimated based upon the total project cost of approximately $30m being spent over an 18 month period (January 2026-June 2027). DCFS remains fully committed to expending the remaining ARPA funds by December 2026.</t>
  </si>
  <si>
    <t>This project funds a portion of the contract with Magellan, which is a care management entity  to support intensive care coordination for youth that have been relinquished by their parents due to the intensity of their needs, those at extremely high risk of relinquishment, and those living in emergency shelters or temporary foster and alternative living arrangements. In consultation with Nevada Medicaid, DCFS and Magellan, the amount of $1,250,000 was de-obligated through WP 26FRF3146 at the Nov IFC due to projections.</t>
  </si>
  <si>
    <t>All sub-recipients were contacted via email and each provided a detailed spend down specific to their project.  These are confirmed spending plans based on timelines for construction and facility opening dates. We estimate the final payments to subawardees will be completed by September 2026. The remaining projections are for two contractors that are overseeing the projects through December 21, 2026.</t>
  </si>
  <si>
    <t xml:space="preserve">Funds have been obligated and currently being expended by the approved project delivery contract with vendor. Phase I is complete, and maintenance and operations efforts are correcting production defects. Phase II is in UAT Testing at 40% complete. Additional hours being added to UAT testers to remain on track for planned delivery. Phase II is on track as planned to go live February 2026. Phase III will have address production support Phase II, Phase III, stabilize batches, payments, federal interface and decommissioning of NOMADS.  </t>
  </si>
  <si>
    <t>Total completed applications received for Fall 2025 for ARPA Scholarships: Total=121; Completed Applications selected for review: 57 (Undergraduate= 8; Master's= 25; Doctoral=24). Total scholarships disbursed for Fall 2025: 41 (Undergraduate= 6; Master's= 11 (4 additional scholarships were given after budget readjustments approved by the NV Division of Public and Behavioral Health) 11+4=15;Doctoral=20). Applications announcements were sent to all School of Public Health students for Spring 2026 Semester, with emphasis on the contingency to funding acquired from the sponsors. As of January 16, 2026, 52 applications have been recived</t>
  </si>
  <si>
    <t xml:space="preserve">The remaining projected balance is pending the Renown subaward for an advance, the enitre remaining balance will be expended by June 30, 2026. </t>
  </si>
  <si>
    <t xml:space="preserve">Washoe: Building is on time and on budget. Flooring has been installed, water is scheduled to be turned on in early January, Furniture to be delivered on January 19th. The anticipated move in date is now March 1st.
Carson: On track to complete projects which support staffing of key positions within the agency.
Churchill:  In progress - released for bid November 2025. Equipment is scheduled for purchase January 2026, 25% of the Security Equipment ordered for CNHD.
</t>
  </si>
  <si>
    <t>Project is ongoing and has incurred $4,692,044.51 in expenditures as of January 15th, 2026.  Expected to fully spend down by end of project period.</t>
  </si>
  <si>
    <t>ON-TRACK</t>
  </si>
  <si>
    <t>Totals</t>
  </si>
  <si>
    <t xml:space="preserve">There is remaining balance of $164,061.41, program has begun process for new contract for community partner Seven Hills to utilize increase threshold cap. Received extension request approval, providing until 6/30/2026 to expend remaining amount giving a monthly projection of 41,804.85 x1 month &amp; $27,343.57 x 5 months. </t>
  </si>
  <si>
    <t xml:space="preserve">Project performance period extended for continued work and support of completing project tasks. An upgrade to the flooring in the area this project took place is going to occur. Contract with flooring vendor in process.  Re-allocation of $288,337.50 to 24JBMHP01 through de-obligation in process.  Once the deobligation is approved, the projections for 24JBMHP01 will be updated. </t>
  </si>
  <si>
    <t xml:space="preserve">Sub-awards have been executed and awarded to Clark County Detention Center and Washoe County Jail. Program in full operating for Washoe and Clark Counties.   Program continues to be the destination of re-allocated funds to support ongoing efforts.  Additional Supplemental Allocation of $221,588.96 from NRSAP01 accounts for $221,588.96 overobligation amount.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</si>
</sst>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mm/dd/yyyy"/>
  </numFmts>
  <fonts count="21"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9"/>
      <color theme="1"/>
      <name val="Calibri"/>
      <family val="2"/>
      <scheme val="minor"/>
    </font>
    <font>
      <b/>
      <sz val="9"/>
      <color theme="1"/>
      <name val="Calibri"/>
      <family val="2"/>
      <scheme val="minor"/>
    </font>
    <font>
      <b/>
      <sz val="9.5"/>
      <name val="Calibri"/>
      <family val="2"/>
      <scheme val="minor"/>
    </font>
    <font>
      <b/>
      <i/>
      <sz val="9.5"/>
      <name val="Calibri"/>
      <family val="2"/>
      <scheme val="minor"/>
    </font>
    <font>
      <sz val="9.5"/>
      <name val="Calibri"/>
      <family val="2"/>
      <scheme val="minor"/>
    </font>
    <font>
      <b/>
      <sz val="9.5"/>
      <color theme="1"/>
      <name val="Calibri"/>
      <family val="2"/>
      <scheme val="minor"/>
    </font>
    <font>
      <b/>
      <u/>
      <sz val="9.5"/>
      <name val="Calibri"/>
      <family val="2"/>
      <scheme val="minor"/>
    </font>
    <font>
      <b/>
      <u/>
      <sz val="11"/>
      <color theme="10"/>
      <name val="Calibri"/>
      <family val="2"/>
      <scheme val="minor"/>
    </font>
    <font>
      <b/>
      <u/>
      <sz val="9.5"/>
      <color theme="10"/>
      <name val="Calibri"/>
      <family val="2"/>
      <scheme val="minor"/>
    </font>
    <font>
      <b/>
      <u/>
      <sz val="10"/>
      <name val="Calibri"/>
      <family val="2"/>
      <scheme val="minor"/>
    </font>
    <font>
      <sz val="9"/>
      <color rgb="FF0070C0"/>
      <name val="Calibri"/>
      <family val="2"/>
      <scheme val="minor"/>
    </font>
    <font>
      <sz val="11"/>
      <color rgb="FF0070C0"/>
      <name val="Calibri"/>
      <family val="2"/>
      <scheme val="minor"/>
    </font>
    <font>
      <sz val="9.5"/>
      <color rgb="FF0070C0"/>
      <name val="Calibri"/>
      <family val="2"/>
      <scheme val="minor"/>
    </font>
    <font>
      <b/>
      <sz val="10"/>
      <color rgb="FF0070C0"/>
      <name val="Calibri"/>
      <family val="2"/>
      <scheme val="minor"/>
    </font>
    <font>
      <b/>
      <sz val="14"/>
      <name val="Calibri"/>
      <family val="2"/>
      <scheme val="minor"/>
    </font>
    <font>
      <b/>
      <sz val="12"/>
      <color theme="1"/>
      <name val="Calibri"/>
      <family val="2"/>
      <scheme val="minor"/>
    </font>
    <font>
      <sz val="9.5"/>
      <color rgb="FF0070C0"/>
      <name val="Calibri"/>
      <family val="2"/>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bgColor indexed="64"/>
      </patternFill>
    </fill>
    <fill>
      <patternFill patternType="solid">
        <fgColor rgb="FFFFFF99"/>
        <bgColor indexed="64"/>
      </patternFill>
    </fill>
    <fill>
      <patternFill patternType="solid">
        <fgColor rgb="FFFF4343"/>
        <bgColor indexed="64"/>
      </patternFill>
    </fill>
    <fill>
      <patternFill patternType="solid">
        <fgColor rgb="FF92D050"/>
        <bgColor indexed="64"/>
      </patternFill>
    </fill>
    <fill>
      <patternFill patternType="solid">
        <fgColor theme="0" tint="-0.249977111117893"/>
        <bgColor indexed="64"/>
      </patternFill>
    </fill>
    <fill>
      <patternFill patternType="solid">
        <fgColor rgb="FF66FF33"/>
        <bgColor indexed="64"/>
      </patternFill>
    </fill>
    <fill>
      <patternFill patternType="solid">
        <fgColor theme="7" tint="0.79998168889431442"/>
        <bgColor indexed="64"/>
      </patternFill>
    </fill>
    <fill>
      <patternFill patternType="solid">
        <fgColor rgb="FFCCCAFA"/>
        <bgColor indexed="64"/>
      </patternFill>
    </fill>
    <fill>
      <patternFill patternType="solid">
        <fgColor rgb="FFFFFF99"/>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cellStyleXfs>
  <cellXfs count="109">
    <xf numFmtId="0" fontId="0" fillId="0" borderId="0" xfId="0"/>
    <xf numFmtId="0" fontId="4" fillId="0" borderId="0" xfId="0" applyFont="1"/>
    <xf numFmtId="0" fontId="4" fillId="0" borderId="0" xfId="0" applyFont="1" applyAlignment="1">
      <alignment horizontal="left"/>
    </xf>
    <xf numFmtId="43" fontId="4" fillId="0" borderId="0" xfId="0" applyNumberFormat="1" applyFont="1"/>
    <xf numFmtId="43" fontId="5" fillId="0" borderId="0" xfId="0" applyNumberFormat="1" applyFont="1"/>
    <xf numFmtId="10" fontId="4" fillId="0" borderId="0" xfId="0" applyNumberFormat="1" applyFont="1" applyAlignment="1">
      <alignment vertical="center"/>
    </xf>
    <xf numFmtId="43" fontId="8" fillId="8" borderId="1" xfId="4" applyFont="1" applyFill="1" applyBorder="1" applyAlignment="1">
      <alignment horizontal="center" vertical="center"/>
    </xf>
    <xf numFmtId="43" fontId="6" fillId="8" borderId="1" xfId="4" applyFont="1" applyFill="1" applyBorder="1" applyAlignment="1">
      <alignment vertical="center"/>
    </xf>
    <xf numFmtId="43" fontId="8" fillId="8" borderId="1" xfId="4" applyFont="1" applyFill="1" applyBorder="1" applyAlignment="1">
      <alignment vertical="center"/>
    </xf>
    <xf numFmtId="0" fontId="0" fillId="0" borderId="1" xfId="0" applyBorder="1"/>
    <xf numFmtId="0" fontId="8" fillId="0" borderId="1" xfId="3" applyFont="1" applyFill="1" applyBorder="1" applyAlignment="1">
      <alignment horizontal="left" vertical="center" wrapText="1"/>
    </xf>
    <xf numFmtId="0" fontId="8" fillId="3" borderId="1" xfId="3" applyFont="1" applyFill="1" applyBorder="1" applyAlignment="1">
      <alignment horizontal="left" vertical="center" wrapText="1"/>
    </xf>
    <xf numFmtId="165" fontId="8" fillId="0" borderId="1" xfId="0" applyNumberFormat="1" applyFont="1" applyBorder="1" applyAlignment="1">
      <alignment horizontal="center" vertical="center"/>
    </xf>
    <xf numFmtId="0" fontId="8" fillId="0" borderId="1" xfId="0" applyFont="1" applyBorder="1" applyAlignment="1">
      <alignment horizontal="center" vertical="center"/>
    </xf>
    <xf numFmtId="43" fontId="8" fillId="0" borderId="1" xfId="4" applyFont="1" applyFill="1" applyBorder="1" applyAlignment="1">
      <alignment vertical="center"/>
    </xf>
    <xf numFmtId="43" fontId="6" fillId="0" borderId="1" xfId="4" applyFont="1" applyFill="1" applyBorder="1" applyAlignment="1">
      <alignment vertical="center"/>
    </xf>
    <xf numFmtId="43" fontId="8" fillId="9" borderId="1" xfId="4" applyFont="1" applyFill="1" applyBorder="1" applyAlignment="1">
      <alignment vertical="center"/>
    </xf>
    <xf numFmtId="0" fontId="0" fillId="3" borderId="1" xfId="0" applyFill="1" applyBorder="1"/>
    <xf numFmtId="0" fontId="0" fillId="3" borderId="0" xfId="0" applyFill="1"/>
    <xf numFmtId="43" fontId="8" fillId="0" borderId="1" xfId="4" applyFont="1" applyBorder="1" applyAlignment="1">
      <alignment vertical="center"/>
    </xf>
    <xf numFmtId="0" fontId="8" fillId="0" borderId="1" xfId="3" applyFont="1" applyBorder="1" applyAlignment="1">
      <alignment horizontal="left" vertical="center" wrapText="1"/>
    </xf>
    <xf numFmtId="43" fontId="6" fillId="0" borderId="1" xfId="4" applyFont="1" applyBorder="1" applyAlignment="1">
      <alignment vertical="center"/>
    </xf>
    <xf numFmtId="43" fontId="8" fillId="3" borderId="1" xfId="4" applyFont="1" applyFill="1" applyBorder="1" applyAlignment="1">
      <alignment vertical="center"/>
    </xf>
    <xf numFmtId="165" fontId="8" fillId="3" borderId="1" xfId="0" applyNumberFormat="1" applyFont="1" applyFill="1" applyBorder="1" applyAlignment="1">
      <alignment horizontal="center" vertical="center"/>
    </xf>
    <xf numFmtId="0" fontId="8" fillId="3" borderId="1" xfId="0" applyFont="1" applyFill="1" applyBorder="1" applyAlignment="1">
      <alignment horizontal="center" vertical="center"/>
    </xf>
    <xf numFmtId="43" fontId="6" fillId="3" borderId="1" xfId="4" applyFont="1" applyFill="1" applyBorder="1" applyAlignment="1">
      <alignment vertical="center"/>
    </xf>
    <xf numFmtId="0" fontId="0" fillId="0" borderId="0" xfId="0" applyAlignment="1">
      <alignment vertical="center"/>
    </xf>
    <xf numFmtId="43" fontId="8" fillId="0" borderId="1" xfId="4" applyFont="1" applyFill="1" applyBorder="1" applyAlignment="1"/>
    <xf numFmtId="43" fontId="6" fillId="10" borderId="1" xfId="4" applyFont="1" applyFill="1" applyBorder="1" applyAlignment="1">
      <alignment vertical="center"/>
    </xf>
    <xf numFmtId="0" fontId="0" fillId="9" borderId="1" xfId="0" applyFill="1" applyBorder="1"/>
    <xf numFmtId="0" fontId="6" fillId="0" borderId="1" xfId="0" applyFont="1" applyBorder="1" applyAlignment="1">
      <alignment horizontal="center" vertical="center"/>
    </xf>
    <xf numFmtId="43" fontId="0" fillId="0" borderId="0" xfId="0" applyNumberFormat="1"/>
    <xf numFmtId="49" fontId="8" fillId="11" borderId="1" xfId="0" applyNumberFormat="1" applyFont="1" applyFill="1" applyBorder="1" applyAlignment="1">
      <alignment horizontal="center" vertical="center"/>
    </xf>
    <xf numFmtId="0" fontId="8" fillId="11" borderId="1" xfId="3" applyFont="1" applyFill="1" applyBorder="1" applyAlignment="1">
      <alignment horizontal="left" vertical="center" wrapText="1"/>
    </xf>
    <xf numFmtId="0" fontId="8" fillId="11" borderId="1" xfId="0" applyFont="1" applyFill="1" applyBorder="1" applyAlignment="1">
      <alignment vertical="center" wrapText="1"/>
    </xf>
    <xf numFmtId="165" fontId="8" fillId="11" borderId="1" xfId="0" applyNumberFormat="1" applyFont="1" applyFill="1" applyBorder="1" applyAlignment="1">
      <alignment horizontal="center" vertical="center"/>
    </xf>
    <xf numFmtId="0" fontId="8" fillId="11" borderId="1" xfId="0" applyFont="1" applyFill="1" applyBorder="1" applyAlignment="1">
      <alignment horizontal="center" vertical="center"/>
    </xf>
    <xf numFmtId="43" fontId="6" fillId="11" borderId="1" xfId="4" applyFont="1" applyFill="1" applyBorder="1" applyAlignment="1">
      <alignment vertical="center"/>
    </xf>
    <xf numFmtId="10" fontId="0" fillId="0" borderId="0" xfId="0" applyNumberFormat="1" applyAlignment="1">
      <alignment vertical="center"/>
    </xf>
    <xf numFmtId="0" fontId="0" fillId="0" borderId="0" xfId="0" applyAlignment="1">
      <alignment horizontal="left"/>
    </xf>
    <xf numFmtId="0" fontId="5" fillId="0" borderId="0" xfId="0" applyFont="1"/>
    <xf numFmtId="0" fontId="2" fillId="0" borderId="0" xfId="0" applyFont="1"/>
    <xf numFmtId="0" fontId="6" fillId="0" borderId="1" xfId="0" applyFont="1" applyBorder="1" applyAlignment="1">
      <alignment horizontal="center"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11" borderId="1" xfId="0" applyFont="1" applyFill="1" applyBorder="1" applyAlignment="1">
      <alignment horizontal="center" vertical="center"/>
    </xf>
    <xf numFmtId="10" fontId="4" fillId="0" borderId="2" xfId="2" applyNumberFormat="1" applyFont="1" applyBorder="1" applyAlignment="1">
      <alignment vertical="center"/>
    </xf>
    <xf numFmtId="10" fontId="4" fillId="3" borderId="2" xfId="2" applyNumberFormat="1" applyFont="1" applyFill="1" applyBorder="1" applyAlignment="1">
      <alignment vertical="center"/>
    </xf>
    <xf numFmtId="10" fontId="4" fillId="0" borderId="2" xfId="2" applyNumberFormat="1" applyFont="1" applyFill="1" applyBorder="1" applyAlignment="1">
      <alignment vertical="center"/>
    </xf>
    <xf numFmtId="49" fontId="6" fillId="4" borderId="7" xfId="0" applyNumberFormat="1" applyFont="1" applyFill="1" applyBorder="1" applyAlignment="1">
      <alignment horizontal="center" vertical="center" wrapText="1"/>
    </xf>
    <xf numFmtId="49" fontId="6" fillId="4" borderId="8" xfId="0" applyNumberFormat="1" applyFont="1" applyFill="1" applyBorder="1" applyAlignment="1">
      <alignment horizontal="center" vertical="center" wrapText="1"/>
    </xf>
    <xf numFmtId="49" fontId="6" fillId="4" borderId="7" xfId="0" quotePrefix="1" applyNumberFormat="1" applyFont="1" applyFill="1" applyBorder="1" applyAlignment="1">
      <alignment horizontal="center" vertical="center"/>
    </xf>
    <xf numFmtId="49" fontId="6" fillId="4" borderId="7" xfId="0" applyNumberFormat="1" applyFont="1" applyFill="1" applyBorder="1" applyAlignment="1">
      <alignment horizontal="left" vertical="center" wrapText="1"/>
    </xf>
    <xf numFmtId="49" fontId="7" fillId="4" borderId="9" xfId="0" applyNumberFormat="1" applyFont="1" applyFill="1" applyBorder="1" applyAlignment="1">
      <alignment horizontal="center" vertical="center" wrapText="1"/>
    </xf>
    <xf numFmtId="49" fontId="6" fillId="5" borderId="7" xfId="0" applyNumberFormat="1" applyFont="1" applyFill="1" applyBorder="1" applyAlignment="1">
      <alignment horizontal="center" vertical="center" wrapText="1"/>
    </xf>
    <xf numFmtId="164" fontId="6" fillId="4" borderId="7" xfId="0" applyNumberFormat="1" applyFont="1" applyFill="1" applyBorder="1" applyAlignment="1">
      <alignment horizontal="center" vertical="center" wrapText="1"/>
    </xf>
    <xf numFmtId="43" fontId="6" fillId="4" borderId="7" xfId="0" applyNumberFormat="1" applyFont="1" applyFill="1" applyBorder="1" applyAlignment="1">
      <alignment horizontal="center" vertical="center" wrapText="1"/>
    </xf>
    <xf numFmtId="43" fontId="6" fillId="6" borderId="7" xfId="0" applyNumberFormat="1" applyFont="1" applyFill="1" applyBorder="1" applyAlignment="1">
      <alignment horizontal="center" vertical="center" wrapText="1"/>
    </xf>
    <xf numFmtId="164" fontId="6" fillId="4" borderId="10" xfId="0" applyNumberFormat="1" applyFont="1" applyFill="1" applyBorder="1" applyAlignment="1">
      <alignment horizontal="center" vertical="center" wrapText="1"/>
    </xf>
    <xf numFmtId="43" fontId="6" fillId="7" borderId="7" xfId="4" applyFont="1" applyFill="1" applyBorder="1" applyAlignment="1">
      <alignment horizontal="center" vertical="center" wrapText="1"/>
    </xf>
    <xf numFmtId="43" fontId="6" fillId="5" borderId="7" xfId="4" applyFont="1" applyFill="1" applyBorder="1" applyAlignment="1">
      <alignment horizontal="center" vertical="center" wrapText="1"/>
    </xf>
    <xf numFmtId="10" fontId="6" fillId="4" borderId="8" xfId="4" applyNumberFormat="1" applyFont="1" applyFill="1" applyBorder="1" applyAlignment="1">
      <alignment horizontal="center" vertical="center" wrapText="1"/>
    </xf>
    <xf numFmtId="49" fontId="8" fillId="7" borderId="1" xfId="0" applyNumberFormat="1" applyFont="1" applyFill="1" applyBorder="1" applyAlignment="1">
      <alignment horizontal="center" vertical="center"/>
    </xf>
    <xf numFmtId="0" fontId="8" fillId="7" borderId="1" xfId="3" applyFont="1" applyFill="1" applyBorder="1" applyAlignment="1">
      <alignment horizontal="left" vertical="center" wrapText="1"/>
    </xf>
    <xf numFmtId="49" fontId="8" fillId="7" borderId="1" xfId="0" applyNumberFormat="1" applyFont="1" applyFill="1" applyBorder="1" applyAlignment="1">
      <alignment horizontal="center" vertical="center" wrapText="1"/>
    </xf>
    <xf numFmtId="0" fontId="5" fillId="0" borderId="0" xfId="0" applyFont="1" applyAlignment="1">
      <alignment wrapText="1"/>
    </xf>
    <xf numFmtId="0" fontId="6" fillId="0" borderId="1" xfId="0" applyFont="1" applyBorder="1" applyAlignment="1">
      <alignment vertical="center" wrapText="1"/>
    </xf>
    <xf numFmtId="0" fontId="6" fillId="3" borderId="1" xfId="0" applyFont="1" applyFill="1" applyBorder="1" applyAlignment="1">
      <alignment vertical="center" wrapText="1"/>
    </xf>
    <xf numFmtId="0" fontId="6" fillId="11" borderId="1" xfId="0" applyFont="1" applyFill="1" applyBorder="1" applyAlignment="1">
      <alignment vertical="center" wrapText="1"/>
    </xf>
    <xf numFmtId="0" fontId="2" fillId="0" borderId="0" xfId="0" applyFont="1" applyAlignment="1">
      <alignment wrapText="1"/>
    </xf>
    <xf numFmtId="0" fontId="5" fillId="0" borderId="0" xfId="0" applyFont="1" applyAlignment="1">
      <alignment horizontal="center" vertical="center"/>
    </xf>
    <xf numFmtId="0" fontId="11" fillId="7" borderId="1" xfId="3" applyFont="1" applyFill="1" applyBorder="1" applyAlignment="1">
      <alignment horizontal="center" vertical="center"/>
    </xf>
    <xf numFmtId="0" fontId="10" fillId="7" borderId="1" xfId="3" applyFont="1" applyFill="1" applyBorder="1" applyAlignment="1">
      <alignment horizontal="center" vertical="center"/>
    </xf>
    <xf numFmtId="0" fontId="12" fillId="7" borderId="1" xfId="3" applyFont="1" applyFill="1" applyBorder="1" applyAlignment="1">
      <alignment horizontal="center" vertical="center"/>
    </xf>
    <xf numFmtId="0" fontId="13" fillId="7" borderId="1" xfId="3" applyFont="1" applyFill="1" applyBorder="1" applyAlignment="1">
      <alignment horizontal="center" vertical="center"/>
    </xf>
    <xf numFmtId="0" fontId="10" fillId="7" borderId="1" xfId="3" applyFont="1" applyFill="1" applyBorder="1" applyAlignment="1">
      <alignment horizontal="center" vertical="center" wrapText="1"/>
    </xf>
    <xf numFmtId="0" fontId="12" fillId="11" borderId="1" xfId="3" applyFont="1" applyFill="1" applyBorder="1" applyAlignment="1">
      <alignment horizontal="center" vertical="center"/>
    </xf>
    <xf numFmtId="0" fontId="9" fillId="0" borderId="0" xfId="0" applyFont="1" applyAlignment="1">
      <alignment horizontal="center" vertical="center"/>
    </xf>
    <xf numFmtId="0" fontId="14" fillId="0" borderId="0" xfId="0" applyFont="1"/>
    <xf numFmtId="0" fontId="16" fillId="11" borderId="1" xfId="0" applyFont="1" applyFill="1" applyBorder="1" applyAlignment="1">
      <alignment vertical="center" wrapText="1"/>
    </xf>
    <xf numFmtId="0" fontId="15" fillId="0" borderId="0" xfId="0" applyFont="1"/>
    <xf numFmtId="43" fontId="6" fillId="9" borderId="1" xfId="4" applyFont="1" applyFill="1" applyBorder="1" applyAlignment="1">
      <alignment vertical="center"/>
    </xf>
    <xf numFmtId="0" fontId="16" fillId="5" borderId="1" xfId="0" applyFont="1" applyFill="1" applyBorder="1"/>
    <xf numFmtId="0" fontId="16" fillId="5" borderId="1" xfId="0" applyFont="1" applyFill="1" applyBorder="1" applyAlignment="1">
      <alignment vertical="center"/>
    </xf>
    <xf numFmtId="0" fontId="17" fillId="5" borderId="7" xfId="0" applyFont="1" applyFill="1" applyBorder="1" applyAlignment="1">
      <alignment horizontal="center" vertical="center" wrapText="1"/>
    </xf>
    <xf numFmtId="0" fontId="17" fillId="5" borderId="7" xfId="0" applyFont="1" applyFill="1" applyBorder="1" applyAlignment="1">
      <alignment vertical="center" wrapText="1"/>
    </xf>
    <xf numFmtId="0" fontId="17" fillId="5" borderId="11" xfId="0" applyFont="1" applyFill="1" applyBorder="1" applyAlignment="1">
      <alignment vertical="center" wrapText="1"/>
    </xf>
    <xf numFmtId="40" fontId="16" fillId="5" borderId="3" xfId="1" applyNumberFormat="1" applyFont="1" applyFill="1" applyBorder="1"/>
    <xf numFmtId="40" fontId="16" fillId="5" borderId="1" xfId="1" applyNumberFormat="1" applyFont="1" applyFill="1" applyBorder="1"/>
    <xf numFmtId="40" fontId="16" fillId="5" borderId="1" xfId="1" applyNumberFormat="1" applyFont="1" applyFill="1" applyBorder="1" applyAlignment="1">
      <alignment vertical="center"/>
    </xf>
    <xf numFmtId="40" fontId="16" fillId="11" borderId="1" xfId="1" applyNumberFormat="1" applyFont="1" applyFill="1" applyBorder="1" applyAlignment="1">
      <alignment vertical="center" wrapText="1"/>
    </xf>
    <xf numFmtId="17" fontId="17" fillId="5" borderId="7" xfId="0" applyNumberFormat="1" applyFont="1" applyFill="1" applyBorder="1" applyAlignment="1">
      <alignment horizontal="center" vertical="center"/>
    </xf>
    <xf numFmtId="43" fontId="4" fillId="8" borderId="0" xfId="0" applyNumberFormat="1" applyFont="1" applyFill="1"/>
    <xf numFmtId="43" fontId="6" fillId="8" borderId="7" xfId="4" applyFont="1" applyFill="1" applyBorder="1" applyAlignment="1">
      <alignment horizontal="center" vertical="center" wrapText="1"/>
    </xf>
    <xf numFmtId="43" fontId="19" fillId="8" borderId="0" xfId="0" applyNumberFormat="1" applyFont="1" applyFill="1"/>
    <xf numFmtId="0" fontId="16" fillId="5" borderId="1" xfId="0" applyFont="1" applyFill="1" applyBorder="1" applyAlignment="1">
      <alignment wrapText="1"/>
    </xf>
    <xf numFmtId="0" fontId="16" fillId="5" borderId="1" xfId="0" applyFont="1" applyFill="1" applyBorder="1" applyAlignment="1">
      <alignment horizontal="left" wrapText="1"/>
    </xf>
    <xf numFmtId="4" fontId="20" fillId="12" borderId="12" xfId="0" applyNumberFormat="1" applyFont="1" applyFill="1" applyBorder="1"/>
    <xf numFmtId="4" fontId="20" fillId="12" borderId="13" xfId="0" applyNumberFormat="1" applyFont="1" applyFill="1" applyBorder="1"/>
    <xf numFmtId="0" fontId="20" fillId="12" borderId="12" xfId="0" applyFont="1" applyFill="1" applyBorder="1"/>
    <xf numFmtId="0" fontId="14" fillId="0" borderId="0" xfId="0" applyFont="1" applyAlignment="1">
      <alignment wrapText="1"/>
    </xf>
    <xf numFmtId="0" fontId="15" fillId="0" borderId="0" xfId="0" applyFont="1" applyAlignment="1">
      <alignment wrapText="1"/>
    </xf>
    <xf numFmtId="0" fontId="16" fillId="5" borderId="1" xfId="0" applyFont="1" applyFill="1" applyBorder="1" applyAlignment="1">
      <alignment vertical="top" wrapText="1"/>
    </xf>
    <xf numFmtId="0" fontId="0" fillId="0" borderId="0" xfId="0" applyAlignment="1">
      <alignment wrapText="1"/>
    </xf>
    <xf numFmtId="0" fontId="16" fillId="5" borderId="1" xfId="0" applyFont="1" applyFill="1" applyBorder="1" applyAlignment="1">
      <alignment vertical="center" wrapText="1"/>
    </xf>
    <xf numFmtId="43" fontId="2" fillId="2" borderId="4" xfId="0" applyNumberFormat="1" applyFont="1" applyFill="1" applyBorder="1" applyAlignment="1">
      <alignment horizontal="center" vertical="center"/>
    </xf>
    <xf numFmtId="43" fontId="2" fillId="2" borderId="5" xfId="0" applyNumberFormat="1" applyFont="1" applyFill="1" applyBorder="1" applyAlignment="1">
      <alignment horizontal="center" vertical="center"/>
    </xf>
    <xf numFmtId="0" fontId="18" fillId="0" borderId="0" xfId="0" applyFont="1" applyAlignment="1">
      <alignment horizontal="center"/>
    </xf>
    <xf numFmtId="0" fontId="18" fillId="0" borderId="6" xfId="0" applyFont="1" applyBorder="1" applyAlignment="1">
      <alignment horizontal="center"/>
    </xf>
  </cellXfs>
  <cellStyles count="5">
    <cellStyle name="Comma" xfId="1" builtinId="3"/>
    <cellStyle name="Comma 3" xfId="4" xr:uid="{681E8936-80E7-4B8D-8906-FFF1C548C976}"/>
    <cellStyle name="Hyperlink" xfId="3" builtinId="8"/>
    <cellStyle name="Normal" xfId="0" builtinId="0"/>
    <cellStyle name="Percent" xfId="2"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87A59B5D-B81E-4837-B120-1CA805D258E8}"/>
  <namedSheetView name="View2" id="{7013B06B-137F-414E-B32C-89F27A74FF41}"/>
  <namedSheetView name="View3" id="{67BA6E71-6975-4CFE-BF53-B50BADCDCDE1}"/>
  <namedSheetView name="View4" id="{AE36C9E8-B20B-49F7-9278-02AD28FFCAD4}"/>
  <namedSheetView name="View5" id="{BC55F644-0428-473D-9740-0C4A1763C3C5}"/>
  <namedSheetView name="View6" id="{853A132D-DAB2-4FE2-8A95-2BB58F6D9C86}"/>
  <namedSheetView name="View7" id="{1FA846D5-708A-4F4C-A201-FEFA443E2CA9}"/>
</namedSheetViews>
</file>

<file path=xl/persons/person.xml><?xml version="1.0" encoding="utf-8"?>
<personList xmlns="http://schemas.microsoft.com/office/spreadsheetml/2018/threadedcomments" xmlns:x="http://schemas.openxmlformats.org/spreadsheetml/2006/main">
  <person displayName="Casey Van Patten" id="{09AF92E4-A7B6-4906-A310-67AD283719DB}" userId="S::cpatten@finance.nv.gov::05ecaf61-5b5c-4b1d-b3fd-6838fb48b206" providerId="AD"/>
  <person displayName="Kelli E. Anderson" id="{95BB7F7A-0291-4586-B313-38F0D4A0F522}" userId="S::andersonk@finance.nv.gov::653b3914-056c-4086-895a-44b6d2b35d0b" providerId="AD"/>
  <person displayName="Danette M. Kluever" id="{F7CB1ED6-3621-4A47-BB13-B35178656780}" userId="S::dmkluever@finance.nv.gov::50926234-bd15-4a2c-889f-9e84033ed404" providerId="AD"/>
  <person displayName="Lesa Galloway" id="{0C70FFA3-53A6-49C4-AEB6-3846F026DDDC}" userId="S::lgalloway@finance.nv.gov::f934939c-6f1a-48f4-8893-2002b4c9016e"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4" dT="2025-11-04T21:37:34.98" personId="{F7CB1ED6-3621-4A47-BB13-B35178656780}" id="{F72015B9-D2FC-4C57-A980-FF12CF952860}">
    <text>Partial DEOB $13,339.40 WP#26FRF32762</text>
  </threadedComment>
  <threadedComment ref="I7" dT="2024-02-29T15:09:21.40" personId="{09AF92E4-A7B6-4906-A310-67AD283719DB}" id="{8C436492-BD94-4779-B5A3-BA66B6F463BA}">
    <text>Changed from 3266 to 3278 in FY24</text>
  </threadedComment>
  <threadedComment ref="R7" dT="2024-03-19T21:02:38.08" personId="{95BB7F7A-0291-4586-B313-38F0D4A0F522}" id="{70D5B8AB-6F16-403D-A2A7-981D230E0DD7}">
    <text xml:space="preserve">Deob WP of WP24FRF32784
</text>
  </threadedComment>
  <threadedComment ref="I8" dT="2024-03-11T15:25:17.29" personId="{09AF92E4-A7B6-4906-A310-67AD283719DB}" id="{1E1D19B7-1ABC-41CD-B574-76C51263D488}">
    <text>Danette M. Kluever:
Moved from BA3266 to BA3278 in SFY24</text>
  </threadedComment>
  <threadedComment ref="K8" dT="2024-03-11T15:22:40.58" personId="{09AF92E4-A7B6-4906-A310-67AD283719DB}" id="{2F96193D-B5E0-4A4F-A624-395AADFF43EC}">
    <text>Danette M. Kluever:
NOA=CAT24 in error, ACR#1-made correction to CAT34</text>
  </threadedComment>
  <threadedComment ref="R8" dT="2024-03-19T21:04:50.99" personId="{95BB7F7A-0291-4586-B313-38F0D4A0F522}" id="{9658EF74-66B1-4246-AA58-96F7DBC8D8C1}">
    <text xml:space="preserve">Deob WP 24FRF32787
</text>
  </threadedComment>
  <threadedComment ref="I9" dT="2024-03-11T15:27:14.29" personId="{09AF92E4-A7B6-4906-A310-67AD283719DB}" id="{5090CE68-3FB7-404B-A10D-E018C4DEE497}">
    <text>Danette M. Kluever:
Moved from BA3266 to BA3278 in SFY24</text>
  </threadedComment>
  <threadedComment ref="K9" dT="2024-03-11T15:27:35.35" personId="{09AF92E4-A7B6-4906-A310-67AD283719DB}" id="{AC57CD6A-B383-4FFB-B7AC-D3158FB29291}">
    <text>Danette M. Kluever:
NOA=CAT24 in error, ACR#1-made correction to CAT34</text>
  </threadedComment>
  <threadedComment ref="R9" dT="2024-03-19T21:05:11.40" personId="{95BB7F7A-0291-4586-B313-38F0D4A0F522}" id="{65B42CBB-7572-4F48-A526-5EF24DAAB714}">
    <text xml:space="preserve">DeOb WP24FRF32786
</text>
  </threadedComment>
  <threadedComment ref="I11" dT="2024-10-02T17:01:23.14" personId="{F7CB1ED6-3621-4A47-BB13-B35178656780}" id="{7CB54A56-052F-474C-BB8F-4B7A2CEDDC3F}">
    <text>Change to BA3278 eff FY24, no Exp in FY23 to BA3266</text>
  </threadedComment>
  <threadedComment ref="I12" dT="2024-10-02T17:01:23.14" personId="{F7CB1ED6-3621-4A47-BB13-B35178656780}" id="{BA3EBCD8-B9AD-4692-9A21-8B30428D4561}">
    <text>Change to BA3278 eff FY24, no Exp in FY23 to BA3266</text>
  </threadedComment>
  <threadedComment ref="R12" dT="2024-03-19T21:26:01.71" personId="{95BB7F7A-0291-4586-B313-38F0D4A0F522}" id="{028F1BF7-97DA-4049-A237-0F64587C1261}">
    <text xml:space="preserve">SFY 24 De-Ob #24FRF32785
</text>
  </threadedComment>
  <threadedComment ref="M14" dT="2025-10-01T22:03:23.37" personId="{F7CB1ED6-3621-4A47-BB13-B35178656780}" id="{81660847-5463-4039-AE44-01F39B194D9E}">
    <text>$160,574.21 26FR315804 Approved 12.18.25</text>
  </threadedComment>
  <threadedComment ref="R19" dT="2024-03-28T19:13:01.10" personId="{95BB7F7A-0291-4586-B313-38F0D4A0F522}" id="{3DB4DA39-FADF-468F-A9E9-F025EC855DF4}">
    <text xml:space="preserve">Deob WP 24FR316502
</text>
  </threadedComment>
  <threadedComment ref="Q20" dT="2024-03-28T19:19:19.81" personId="{95BB7F7A-0291-4586-B313-38F0D4A0F522}" id="{70F722BF-57A3-43CA-A01A-11556EF24421}">
    <text xml:space="preserve">Pending Grant Realignment WP for $2,896,697 reduction in authority (DK)
</text>
  </threadedComment>
  <threadedComment ref="Q20" dT="2024-03-28T19:20:52.49" personId="{95BB7F7A-0291-4586-B313-38F0D4A0F522}" id="{158692FB-8AC8-4233-8098-11216F809668}" parentId="{70F722BF-57A3-43CA-A01A-11556EF24421}">
    <text>$5,000,000 - transferred to DCFS under WP# 23FR314521</text>
  </threadedComment>
  <threadedComment ref="R20" dT="2024-03-28T21:20:02.95" personId="{F7CB1ED6-3621-4A47-BB13-B35178656780}" id="{4AFF84AD-579A-4EAB-81EF-C0A3996589EE}">
    <text xml:space="preserve">Agency Submitted DeOb for $2,896,697 that was signed off.  Agency sent email to the COVID19 mailbox Requesting to Retract DeOB.  Dan told Amy @ ARPA Admin Mtng 3.14.24 and she is checking with Jim Wells. </text>
  </threadedComment>
  <threadedComment ref="R20" dT="2024-05-11T16:41:53.77" personId="{0C70FFA3-53A6-49C4-AEB6-3846F026DDDC}" id="{2797A16D-EC9B-4E51-BB7E-1E425A1DBDDE}" parentId="{4AFF84AD-579A-4EAB-81EF-C0A3996589EE}">
    <text>$2.8 retracted but agency is giving up 1.9 per J. Wells. WP 24FR316504 (-903,303) combined with an L01 of 3,945,507 reduces the award by the 1.9 million.</text>
  </threadedComment>
  <threadedComment ref="R20" dT="2024-05-17T23:21:56.56" personId="{95BB7F7A-0291-4586-B313-38F0D4A0F522}" id="{69BF0EB2-AF8D-430F-ADCE-4248406AC3CB}" parentId="{4AFF84AD-579A-4EAB-81EF-C0A3996589EE}">
    <text>WP #24FR316504 $903,303</text>
  </threadedComment>
  <threadedComment ref="T24" dT="2025-12-11T20:14:39.36" personId="{F7CB1ED6-3621-4A47-BB13-B35178656780}" id="{35646F01-EF2B-43E6-B292-ED08BE1BFECF}">
    <text>Partial Deob $288,337.50 Transfer to Jail Based 24JBMHP01</text>
  </threadedComment>
  <threadedComment ref="P29" dT="2024-03-05T22:52:47.00" personId="{09AF92E4-A7B6-4906-A310-67AD283719DB}" id="{89AE381C-5DAE-4CBD-A881-A1321DF95681}">
    <text>Deob WP 24FRF36453</text>
  </threadedComment>
  <threadedComment ref="R29" dT="2024-05-17T20:13:05.74" personId="{95BB7F7A-0291-4586-B313-38F0D4A0F522}" id="{5718F0C5-AD9B-4055-8E05-BF24334A2E18}">
    <text xml:space="preserve">De-Obligation #24FR132776 $744,094 - June 2024 IFC </text>
  </threadedComment>
  <threadedComment ref="R29" dT="2024-06-05T21:29:00.16" personId="{F7CB1ED6-3621-4A47-BB13-B35178656780}" id="{CCD822A4-398B-4D2B-B6E0-C4E747CEE779}" parentId="{5718F0C5-AD9B-4055-8E05-BF24334A2E18}">
    <text>Agency De-Ob WP# 24FRF36454</text>
  </threadedComment>
  <threadedComment ref="M30" dT="2025-10-01T18:07:41.58" personId="{F7CB1ED6-3621-4A47-BB13-B35178656780}" id="{736EF46E-7527-4E9B-A296-91FBB2D8352B}">
    <text>Supplemental#1=$2,939,148 &amp; Supplemental #2 =$221,588.96 Supplemental #3= $530,360.14</text>
  </threadedComment>
  <threadedComment ref="M30" dT="2025-12-18T23:29:40.86" personId="{F7CB1ED6-3621-4A47-BB13-B35178656780}" id="{980F3EF8-7F94-48BB-9A42-5337FE04D4B7}" parentId="{736EF46E-7527-4E9B-A296-91FBB2D8352B}">
    <text>Supplemental #2+#3 = $751,950.10 26FRF31613 FEB-IFC</text>
  </threadedComment>
  <threadedComment ref="R31" dT="2024-05-17T20:15:06.67" personId="{95BB7F7A-0291-4586-B313-38F0D4A0F522}" id="{9EEA5636-FB94-4A68-B523-5135E5020CA7}">
    <text xml:space="preserve">WP#24FR132777 De-Obligation $2,070,848 June 2024 IFC </text>
  </threadedComment>
  <threadedComment ref="R31" dT="2024-06-05T21:38:43.21" personId="{F7CB1ED6-3621-4A47-BB13-B35178656780}" id="{28D1EB54-89A0-458E-B1EA-D430D8C077E0}" parentId="{9EEA5636-FB94-4A68-B523-5135E5020CA7}">
    <text>Agency De-Ob WP#24FRF31618 - Revised to $593,974</text>
  </threadedComment>
  <threadedComment ref="V31" dT="2024-05-17T22:11:42.56" personId="{95BB7F7A-0291-4586-B313-38F0D4A0F522}" id="{680A0A08-A8E5-4ABA-ABC3-169D064108AC}">
    <text xml:space="preserve">WP#24FRF31618 June 2024 IFC </text>
  </threadedComment>
  <threadedComment ref="L40" dT="2024-06-05T23:51:31.78" personId="{F7CB1ED6-3621-4A47-BB13-B35178656780}" id="{7E5F1BD9-166F-4122-9F4D-842003DF2496}">
    <text>Issued NEW NOA for SFY24 L01 $1,430,349+31,036 = $1,461,385</text>
  </threadedComment>
  <threadedComment ref="N44" dT="2024-03-06T22:48:42.06" personId="{09AF92E4-A7B6-4906-A310-67AD283719DB}" id="{B9897D49-7F2A-4A6F-940D-7070EAC1152C}">
    <text>L01</text>
  </threadedComment>
  <threadedComment ref="Q44" dT="2024-03-19T21:09:20.41" personId="{95BB7F7A-0291-4586-B313-38F0D4A0F522}" id="{B642EDC0-E9A3-4A32-89C0-7BA52C7DB187}">
    <text xml:space="preserve">FY23 not spent and not balanced foward
</text>
  </threadedComment>
  <threadedComment ref="T45" dT="2026-01-15T17:15:23.48" personId="{F7CB1ED6-3621-4A47-BB13-B35178656780}" id="{8F36E12A-A842-49EC-907C-CB669DBB627E}">
    <text>Pending Deob $200,000</text>
  </threadedComment>
</ThreadedComments>
</file>

<file path=xl/threadedComments/threadedComment2.xml><?xml version="1.0" encoding="utf-8"?>
<ThreadedComments xmlns="http://schemas.microsoft.com/office/spreadsheetml/2018/threadedcomments" xmlns:x="http://schemas.openxmlformats.org/spreadsheetml/2006/main">
  <threadedComment ref="S4" dT="2025-11-04T21:37:34.98" personId="{F7CB1ED6-3621-4A47-BB13-B35178656780}" id="{424A3720-04A9-4DE3-8948-745B6685644D}">
    <text>Partial DEOB $13,339.40 WP#26FRF32762</text>
  </threadedComment>
  <threadedComment ref="I6" dT="2024-02-29T15:09:21.40" personId="{09AF92E4-A7B6-4906-A310-67AD283719DB}" id="{A0A3CE0B-0F5D-461D-8868-1E8E90DC0AC6}">
    <text>Changed from 3266 to 3278 in FY24</text>
  </threadedComment>
  <threadedComment ref="R6" dT="2024-03-19T21:02:38.08" personId="{95BB7F7A-0291-4586-B313-38F0D4A0F522}" id="{87E605A4-84B7-4788-94F1-44676873EC4C}">
    <text xml:space="preserve">Deob WP of WP24FRF32784
</text>
  </threadedComment>
  <threadedComment ref="I7" dT="2024-03-11T15:25:17.29" personId="{09AF92E4-A7B6-4906-A310-67AD283719DB}" id="{B6A64A3A-D6DC-4C94-94A4-1E42AB7C762A}">
    <text>Danette M. Kluever:
Moved from BA3266 to BA3278 in SFY24</text>
  </threadedComment>
  <threadedComment ref="K7" dT="2024-03-11T15:22:40.58" personId="{09AF92E4-A7B6-4906-A310-67AD283719DB}" id="{22BB0E79-3F7D-4220-BAB5-4DC424770E1C}">
    <text>Danette M. Kluever:
NOA=CAT24 in error, ACR#1-made correction to CAT34</text>
  </threadedComment>
  <threadedComment ref="R7" dT="2024-03-19T21:04:50.99" personId="{95BB7F7A-0291-4586-B313-38F0D4A0F522}" id="{6A52D172-3AC8-488F-8ADE-F4D3FDE31F9F}">
    <text xml:space="preserve">Deob WP 24FRF32787
</text>
  </threadedComment>
  <threadedComment ref="I8" dT="2024-03-11T15:27:14.29" personId="{09AF92E4-A7B6-4906-A310-67AD283719DB}" id="{13D9C18F-E06D-49AB-A666-8B9A6E7E2756}">
    <text>Danette M. Kluever:
Moved from BA3266 to BA3278 in SFY24</text>
  </threadedComment>
  <threadedComment ref="K8" dT="2024-03-11T15:27:35.35" personId="{09AF92E4-A7B6-4906-A310-67AD283719DB}" id="{55137BD7-99BE-4972-9F18-1F3FD972C9AB}">
    <text>Danette M. Kluever:
NOA=CAT24 in error, ACR#1-made correction to CAT34</text>
  </threadedComment>
  <threadedComment ref="R8" dT="2024-03-19T21:05:11.40" personId="{95BB7F7A-0291-4586-B313-38F0D4A0F522}" id="{1D96B0B3-5655-42EC-9513-05183C85A57C}">
    <text xml:space="preserve">DeOb WP24FRF32786
</text>
  </threadedComment>
  <threadedComment ref="I10" dT="2024-10-02T17:01:23.14" personId="{F7CB1ED6-3621-4A47-BB13-B35178656780}" id="{2B5A65CE-E996-461A-9A88-BA896F9232A6}">
    <text>Change to BA3278 eff FY24, no Exp in FY23 to BA3266</text>
  </threadedComment>
  <threadedComment ref="I11" dT="2024-10-02T17:01:23.14" personId="{F7CB1ED6-3621-4A47-BB13-B35178656780}" id="{9486F37B-C78A-4A50-ABC8-A53F89004058}">
    <text>Change to BA3278 eff FY24, no Exp in FY23 to BA3266</text>
  </threadedComment>
  <threadedComment ref="R11" dT="2024-03-19T21:26:01.71" personId="{95BB7F7A-0291-4586-B313-38F0D4A0F522}" id="{9F232AA8-E4E3-4707-B442-134C803F37CF}">
    <text xml:space="preserve">SFY 24 De-Ob #24FRF32785
</text>
  </threadedComment>
</ThreadedComments>
</file>

<file path=xl/threadedComments/threadedComment3.xml><?xml version="1.0" encoding="utf-8"?>
<ThreadedComments xmlns="http://schemas.microsoft.com/office/spreadsheetml/2018/threadedcomments" xmlns:x="http://schemas.openxmlformats.org/spreadsheetml/2006/main">
  <threadedComment ref="R7" dT="2024-03-28T19:13:01.10" personId="{95BB7F7A-0291-4586-B313-38F0D4A0F522}" id="{8647723B-E99C-4552-AE2F-1251A63C50FF}">
    <text xml:space="preserve">Deob WP 24FR316502
</text>
  </threadedComment>
  <threadedComment ref="Q8" dT="2024-03-28T19:19:19.81" personId="{95BB7F7A-0291-4586-B313-38F0D4A0F522}" id="{75B48F01-3AE2-4E05-902A-6121DCA55E9A}">
    <text xml:space="preserve">Pending Grant Realignment WP for $2,896,697 reduction in authority (DK)
</text>
  </threadedComment>
  <threadedComment ref="Q8" dT="2024-03-28T19:20:52.49" personId="{95BB7F7A-0291-4586-B313-38F0D4A0F522}" id="{5BCEB471-5C20-4D8E-93D6-29BDFD65F9EC}" parentId="{75B48F01-3AE2-4E05-902A-6121DCA55E9A}">
    <text>$5,000,000 - transferred to DCFS under WP# 23FR314521</text>
  </threadedComment>
  <threadedComment ref="R8" dT="2024-03-28T21:20:02.95" personId="{F7CB1ED6-3621-4A47-BB13-B35178656780}" id="{986FAD69-CC9A-46B7-88E8-5A3B894E8993}">
    <text xml:space="preserve">Agency Submitted DeOb for $2,896,697 that was signed off.  Agency sent email to the COVID19 mailbox Requesting to Retract DeOB.  Dan told Amy @ ARPA Admin Mtng 3.14.24 and she is checking with Jim Wells. </text>
  </threadedComment>
  <threadedComment ref="R8" dT="2024-05-11T16:41:53.77" personId="{0C70FFA3-53A6-49C4-AEB6-3846F026DDDC}" id="{8958F3F9-7261-4BA2-89AD-3AE2D15E511A}" parentId="{986FAD69-CC9A-46B7-88E8-5A3B894E8993}">
    <text>$2.8 retracted but agency is giving up 1.9 per J. Wells. WP 24FR316504 (-903,303) combined with an L01 of 3,945,507 reduces the award by the 1.9 million.</text>
  </threadedComment>
  <threadedComment ref="R8" dT="2024-05-17T23:21:56.56" personId="{95BB7F7A-0291-4586-B313-38F0D4A0F522}" id="{0F6EE177-8702-46BC-9922-D53F81518312}" parentId="{986FAD69-CC9A-46B7-88E8-5A3B894E8993}">
    <text>WP #24FR316504 $903,303</text>
  </threadedComment>
  <threadedComment ref="T12" dT="2025-12-11T20:14:39.36" personId="{F7CB1ED6-3621-4A47-BB13-B35178656780}" id="{318C73F1-EAD3-4189-98BE-655544454A4B}">
    <text>Partial Deob $288,337.50 Transfer to Jail Based 24JBMHP01</text>
  </threadedComment>
  <threadedComment ref="P17" dT="2024-03-05T22:52:47.00" personId="{09AF92E4-A7B6-4906-A310-67AD283719DB}" id="{51264944-D7A2-438D-A037-C10850DAD03D}">
    <text>Deob WP 24FRF36453</text>
  </threadedComment>
  <threadedComment ref="R17" dT="2024-05-17T20:13:05.74" personId="{95BB7F7A-0291-4586-B313-38F0D4A0F522}" id="{BBDDF9C8-5D9D-406C-AD80-4321A49A8914}">
    <text xml:space="preserve">De-Obligation #24FR132776 $744,094 - June 2024 IFC </text>
  </threadedComment>
  <threadedComment ref="R17" dT="2024-06-05T21:29:00.16" personId="{F7CB1ED6-3621-4A47-BB13-B35178656780}" id="{72F2EAA1-4445-49C6-B47D-C0DD389F3866}" parentId="{BBDDF9C8-5D9D-406C-AD80-4321A49A8914}">
    <text>Agency De-Ob WP# 24FRF36454</text>
  </threadedComment>
  <threadedComment ref="M18" dT="2025-10-01T18:07:41.58" personId="{F7CB1ED6-3621-4A47-BB13-B35178656780}" id="{64D5428E-E4F7-4AED-AD36-F0CD2AB10239}">
    <text>Supplemental#1=$2,939,148 &amp; Supplemental #2 =$221,588.96 Supplemental #3= $530,360.14</text>
  </threadedComment>
  <threadedComment ref="M18" dT="2025-12-18T23:29:40.86" personId="{F7CB1ED6-3621-4A47-BB13-B35178656780}" id="{676B3EB1-B963-46CF-8555-11011B180F82}" parentId="{64D5428E-E4F7-4AED-AD36-F0CD2AB10239}">
    <text>Supplemental #2+#3 = $751,950.10 26FRF31613 FEB-IFC</text>
  </threadedComment>
  <threadedComment ref="R19" dT="2024-05-17T20:15:06.67" personId="{95BB7F7A-0291-4586-B313-38F0D4A0F522}" id="{45EAFC9A-0B74-46AE-A6A4-999A27120897}">
    <text xml:space="preserve">WP#24FR132777 De-Obligation $2,070,848 June 2024 IFC </text>
  </threadedComment>
  <threadedComment ref="R19" dT="2024-06-05T21:38:43.21" personId="{F7CB1ED6-3621-4A47-BB13-B35178656780}" id="{4B660D45-2E10-4FEA-9A9E-BF8740F0D549}" parentId="{45EAFC9A-0B74-46AE-A6A4-999A27120897}">
    <text>Agency De-Ob WP#24FRF31618 - Revised to $593,974</text>
  </threadedComment>
  <threadedComment ref="V19" dT="2024-05-17T22:11:42.56" personId="{95BB7F7A-0291-4586-B313-38F0D4A0F522}" id="{9EDECE77-55CC-4C0C-8C5E-DCFAA7BB3E7B}">
    <text xml:space="preserve">WP#24FRF31618 June 2024 IFC </text>
  </threadedComment>
</ThreadedComments>
</file>

<file path=xl/threadedComments/threadedComment4.xml><?xml version="1.0" encoding="utf-8"?>
<ThreadedComments xmlns="http://schemas.microsoft.com/office/spreadsheetml/2018/threadedcomments" xmlns:x="http://schemas.openxmlformats.org/spreadsheetml/2006/main">
  <threadedComment ref="L8" dT="2024-06-05T23:51:31.78" personId="{F7CB1ED6-3621-4A47-BB13-B35178656780}" id="{19AFEA5F-DB08-4C00-BC75-3B384213F596}">
    <text>Issued NEW NOA for SFY24 L01 $1,430,349+31,036 = $1,461,385</text>
  </threadedComment>
  <threadedComment ref="N12" dT="2024-03-06T22:48:42.06" personId="{09AF92E4-A7B6-4906-A310-67AD283719DB}" id="{47ACBCF7-C5C6-4F8B-B27D-C19E4E728278}">
    <text>L01</text>
  </threadedComment>
  <threadedComment ref="Q12" dT="2024-03-19T21:09:20.41" personId="{95BB7F7A-0291-4586-B313-38F0D4A0F522}" id="{B43EBC68-7D6C-4E33-A303-510CCA5E91D6}">
    <text xml:space="preserve">FY23 not spent and not balanced foward
</text>
  </threadedComment>
  <threadedComment ref="T13" dT="2026-01-15T17:15:23.48" personId="{F7CB1ED6-3621-4A47-BB13-B35178656780}" id="{CBABB0A0-01F9-43DA-8CB2-A935745BFBB0}">
    <text>Pending Deob $200,000</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namedSheetView" Target="../namedSheetViews/namedSheetView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1D46E-D3C2-4D59-ACE3-CABFF7C76B1F}">
  <sheetPr codeName="Sheet307">
    <tabColor rgb="FF9DF5F2"/>
  </sheetPr>
  <dimension ref="A1:AY52"/>
  <sheetViews>
    <sheetView topLeftCell="AE2" workbookViewId="0">
      <selection activeCell="E50" sqref="E50"/>
    </sheetView>
  </sheetViews>
  <sheetFormatPr defaultColWidth="9.42578125" defaultRowHeight="15" customHeight="1" x14ac:dyDescent="0.25"/>
  <cols>
    <col min="1" max="1" width="8.28515625" customWidth="1"/>
    <col min="2" max="2" width="7.7109375" customWidth="1"/>
    <col min="3" max="3" width="15.5703125" style="77" bestFit="1" customWidth="1"/>
    <col min="4" max="4" width="12.7109375" customWidth="1"/>
    <col min="5" max="5" width="15.7109375" style="39" customWidth="1"/>
    <col min="6" max="6" width="31.5703125" style="69" customWidth="1"/>
    <col min="7" max="7" width="11" customWidth="1"/>
    <col min="8" max="8" width="11.140625" customWidth="1"/>
    <col min="9" max="9" width="7.85546875" style="41" customWidth="1"/>
    <col min="10" max="10" width="8" style="41" customWidth="1"/>
    <col min="11" max="11" width="7.140625" hidden="1" customWidth="1"/>
    <col min="12" max="12" width="16.140625" hidden="1" customWidth="1"/>
    <col min="13" max="13" width="16.85546875" hidden="1" customWidth="1"/>
    <col min="14" max="14" width="14.5703125" hidden="1" customWidth="1"/>
    <col min="15" max="15" width="15.28515625" style="41" customWidth="1"/>
    <col min="16" max="17" width="16.140625" hidden="1" customWidth="1"/>
    <col min="18" max="18" width="16.140625" style="31" hidden="1" customWidth="1"/>
    <col min="19" max="20" width="16.140625" hidden="1" customWidth="1"/>
    <col min="21" max="21" width="15.5703125" hidden="1" customWidth="1"/>
    <col min="22" max="22" width="15" customWidth="1"/>
    <col min="23" max="23" width="17.7109375" customWidth="1"/>
    <col min="24" max="24" width="21.140625" hidden="1" customWidth="1"/>
    <col min="25" max="26" width="16.28515625" hidden="1" customWidth="1"/>
    <col min="27" max="27" width="16" hidden="1" customWidth="1"/>
    <col min="28" max="28" width="13.85546875" hidden="1" customWidth="1"/>
    <col min="29" max="29" width="15.28515625" hidden="1" customWidth="1"/>
    <col min="30" max="30" width="10.140625" hidden="1" customWidth="1"/>
    <col min="31" max="31" width="18.140625" customWidth="1"/>
    <col min="32" max="32" width="16.85546875" style="41" bestFit="1" customWidth="1"/>
    <col min="33" max="33" width="9.42578125" style="38"/>
    <col min="34" max="49" width="17" style="80" customWidth="1"/>
    <col min="50" max="50" width="25.85546875" style="80" customWidth="1"/>
    <col min="51" max="51" width="45.140625" style="101" customWidth="1"/>
  </cols>
  <sheetData>
    <row r="1" spans="1:51" s="1" customFormat="1" ht="15" hidden="1" customHeight="1" x14ac:dyDescent="0.2">
      <c r="C1" s="70"/>
      <c r="E1" s="2"/>
      <c r="F1" s="65"/>
      <c r="I1" s="40"/>
      <c r="J1" s="40"/>
      <c r="L1" s="3" t="e">
        <f>#REF!</f>
        <v>#REF!</v>
      </c>
      <c r="M1" s="3" t="e">
        <f>#REF!</f>
        <v>#REF!</v>
      </c>
      <c r="N1" s="3" t="e">
        <f>#REF!</f>
        <v>#REF!</v>
      </c>
      <c r="O1" s="4" t="e">
        <f>#REF!</f>
        <v>#REF!</v>
      </c>
      <c r="P1" s="3" t="e">
        <f>#REF!</f>
        <v>#REF!</v>
      </c>
      <c r="Q1" s="3" t="e">
        <f>#REF!</f>
        <v>#REF!</v>
      </c>
      <c r="R1" s="3" t="e">
        <f>#REF!</f>
        <v>#REF!</v>
      </c>
      <c r="S1" s="3" t="e">
        <f>#REF!</f>
        <v>#REF!</v>
      </c>
      <c r="T1" s="3" t="e">
        <f>#REF!</f>
        <v>#REF!</v>
      </c>
      <c r="U1" s="3" t="e">
        <f>#REF!</f>
        <v>#REF!</v>
      </c>
      <c r="V1" s="3" t="e">
        <f>#REF!</f>
        <v>#REF!</v>
      </c>
      <c r="W1" s="3" t="e">
        <f>#REF!</f>
        <v>#REF!</v>
      </c>
      <c r="X1" s="3">
        <f t="shared" ref="X1:AD1" si="0">SUM(X4:X51)</f>
        <v>0</v>
      </c>
      <c r="Y1" s="3">
        <f t="shared" si="0"/>
        <v>845.04</v>
      </c>
      <c r="Z1" s="3">
        <f t="shared" si="0"/>
        <v>39145117.280000009</v>
      </c>
      <c r="AA1" s="3">
        <f t="shared" si="0"/>
        <v>128220600.22</v>
      </c>
      <c r="AB1" s="3">
        <f t="shared" si="0"/>
        <v>172410347.99999997</v>
      </c>
      <c r="AC1" s="3">
        <f t="shared" si="0"/>
        <v>68206036.340000018</v>
      </c>
      <c r="AD1" s="3">
        <f t="shared" si="0"/>
        <v>0</v>
      </c>
      <c r="AE1" s="3">
        <f>SUM(X1:AD1)</f>
        <v>407982946.88</v>
      </c>
      <c r="AF1" s="40"/>
      <c r="AG1" s="5"/>
      <c r="AH1" s="107" t="s">
        <v>0</v>
      </c>
      <c r="AI1" s="107"/>
      <c r="AJ1" s="107"/>
      <c r="AK1" s="107"/>
      <c r="AL1" s="107"/>
      <c r="AM1" s="107"/>
      <c r="AN1" s="107"/>
      <c r="AO1" s="107"/>
      <c r="AP1" s="107"/>
      <c r="AQ1" s="107"/>
      <c r="AR1" s="107"/>
      <c r="AS1" s="107"/>
      <c r="AT1" s="107"/>
      <c r="AU1" s="107"/>
      <c r="AV1" s="107"/>
      <c r="AW1" s="107"/>
      <c r="AX1" s="78"/>
      <c r="AY1" s="78"/>
    </row>
    <row r="2" spans="1:51" s="1" customFormat="1" ht="15" customHeight="1" thickBot="1" x14ac:dyDescent="0.3">
      <c r="C2" s="70"/>
      <c r="E2" s="2"/>
      <c r="F2" s="65"/>
      <c r="I2" s="40"/>
      <c r="J2" s="40"/>
      <c r="L2" s="3"/>
      <c r="M2" s="3"/>
      <c r="N2" s="3"/>
      <c r="O2" s="4"/>
      <c r="P2" s="3"/>
      <c r="Q2" s="3"/>
      <c r="R2" s="3"/>
      <c r="S2" s="3"/>
      <c r="T2" s="3"/>
      <c r="U2" s="3"/>
      <c r="V2" s="3"/>
      <c r="W2" s="3"/>
      <c r="X2" s="94" t="s">
        <v>1</v>
      </c>
      <c r="Y2" s="92"/>
      <c r="Z2" s="92"/>
      <c r="AA2" s="92"/>
      <c r="AB2" s="92"/>
      <c r="AC2" s="92"/>
      <c r="AD2" s="92"/>
      <c r="AE2" s="105" t="s">
        <v>2</v>
      </c>
      <c r="AF2" s="106"/>
      <c r="AG2" s="5"/>
      <c r="AH2" s="108"/>
      <c r="AI2" s="108"/>
      <c r="AJ2" s="108"/>
      <c r="AK2" s="108"/>
      <c r="AL2" s="108"/>
      <c r="AM2" s="108"/>
      <c r="AN2" s="108"/>
      <c r="AO2" s="108"/>
      <c r="AP2" s="108"/>
      <c r="AQ2" s="108"/>
      <c r="AR2" s="108"/>
      <c r="AS2" s="108"/>
      <c r="AT2" s="108"/>
      <c r="AU2" s="108"/>
      <c r="AV2" s="108"/>
      <c r="AW2" s="108"/>
      <c r="AX2" s="78"/>
      <c r="AY2" s="100"/>
    </row>
    <row r="3" spans="1:51" ht="125.1" customHeight="1" thickBot="1" x14ac:dyDescent="0.3">
      <c r="A3" s="49" t="s">
        <v>3</v>
      </c>
      <c r="B3" s="50" t="s">
        <v>4</v>
      </c>
      <c r="C3" s="51" t="s">
        <v>5</v>
      </c>
      <c r="D3" s="49" t="s">
        <v>6</v>
      </c>
      <c r="E3" s="52" t="s">
        <v>7</v>
      </c>
      <c r="F3" s="53" t="s">
        <v>8</v>
      </c>
      <c r="G3" s="54" t="s">
        <v>9</v>
      </c>
      <c r="H3" s="54" t="s">
        <v>10</v>
      </c>
      <c r="I3" s="54" t="s">
        <v>11</v>
      </c>
      <c r="J3" s="54" t="s">
        <v>12</v>
      </c>
      <c r="K3" s="54" t="s">
        <v>13</v>
      </c>
      <c r="L3" s="55" t="s">
        <v>14</v>
      </c>
      <c r="M3" s="56" t="s">
        <v>15</v>
      </c>
      <c r="N3" s="55" t="s">
        <v>16</v>
      </c>
      <c r="O3" s="55" t="s">
        <v>17</v>
      </c>
      <c r="P3" s="57" t="s">
        <v>18</v>
      </c>
      <c r="Q3" s="57" t="s">
        <v>19</v>
      </c>
      <c r="R3" s="57" t="s">
        <v>20</v>
      </c>
      <c r="S3" s="57" t="s">
        <v>21</v>
      </c>
      <c r="T3" s="57" t="s">
        <v>22</v>
      </c>
      <c r="U3" s="57" t="s">
        <v>23</v>
      </c>
      <c r="V3" s="57" t="s">
        <v>24</v>
      </c>
      <c r="W3" s="58" t="s">
        <v>25</v>
      </c>
      <c r="X3" s="93" t="s">
        <v>26</v>
      </c>
      <c r="Y3" s="93" t="s">
        <v>27</v>
      </c>
      <c r="Z3" s="93" t="s">
        <v>28</v>
      </c>
      <c r="AA3" s="93" t="s">
        <v>29</v>
      </c>
      <c r="AB3" s="93" t="s">
        <v>30</v>
      </c>
      <c r="AC3" s="93" t="s">
        <v>31</v>
      </c>
      <c r="AD3" s="93" t="s">
        <v>32</v>
      </c>
      <c r="AE3" s="59" t="s">
        <v>33</v>
      </c>
      <c r="AF3" s="60" t="s">
        <v>34</v>
      </c>
      <c r="AG3" s="61" t="s">
        <v>35</v>
      </c>
      <c r="AH3" s="84" t="s">
        <v>36</v>
      </c>
      <c r="AI3" s="91">
        <v>46037</v>
      </c>
      <c r="AJ3" s="91">
        <f>AI3+30</f>
        <v>46067</v>
      </c>
      <c r="AK3" s="91">
        <f t="shared" ref="AK3:AT3" si="1">AJ3+30</f>
        <v>46097</v>
      </c>
      <c r="AL3" s="91">
        <f t="shared" si="1"/>
        <v>46127</v>
      </c>
      <c r="AM3" s="91">
        <f t="shared" si="1"/>
        <v>46157</v>
      </c>
      <c r="AN3" s="91">
        <f t="shared" si="1"/>
        <v>46187</v>
      </c>
      <c r="AO3" s="91">
        <f t="shared" si="1"/>
        <v>46217</v>
      </c>
      <c r="AP3" s="91">
        <f t="shared" si="1"/>
        <v>46247</v>
      </c>
      <c r="AQ3" s="91">
        <f t="shared" si="1"/>
        <v>46277</v>
      </c>
      <c r="AR3" s="91">
        <f t="shared" si="1"/>
        <v>46307</v>
      </c>
      <c r="AS3" s="91">
        <f t="shared" si="1"/>
        <v>46337</v>
      </c>
      <c r="AT3" s="91">
        <f t="shared" si="1"/>
        <v>46367</v>
      </c>
      <c r="AU3" s="84" t="s">
        <v>37</v>
      </c>
      <c r="AV3" s="84" t="s">
        <v>38</v>
      </c>
      <c r="AW3" s="84" t="s">
        <v>39</v>
      </c>
      <c r="AX3" s="85" t="s">
        <v>40</v>
      </c>
      <c r="AY3" s="86" t="s">
        <v>41</v>
      </c>
    </row>
    <row r="4" spans="1:51" ht="39" customHeight="1" x14ac:dyDescent="0.25">
      <c r="A4" s="62" t="s">
        <v>42</v>
      </c>
      <c r="B4" s="62" t="s">
        <v>43</v>
      </c>
      <c r="C4" s="72" t="s">
        <v>44</v>
      </c>
      <c r="D4" s="63" t="s">
        <v>45</v>
      </c>
      <c r="E4" s="10" t="s">
        <v>46</v>
      </c>
      <c r="F4" s="66" t="s">
        <v>47</v>
      </c>
      <c r="G4" s="12">
        <v>44854</v>
      </c>
      <c r="H4" s="12">
        <v>46203</v>
      </c>
      <c r="I4" s="42">
        <v>3276</v>
      </c>
      <c r="J4" s="30">
        <v>40</v>
      </c>
      <c r="K4" s="13">
        <v>24</v>
      </c>
      <c r="L4" s="15">
        <v>368100</v>
      </c>
      <c r="M4" s="14"/>
      <c r="N4" s="14"/>
      <c r="O4" s="14">
        <f t="shared" ref="O4:O12" si="2">SUM(L4:N4)</f>
        <v>368100</v>
      </c>
      <c r="P4" s="14"/>
      <c r="Q4" s="14"/>
      <c r="R4" s="14"/>
      <c r="S4" s="14">
        <v>13339.4</v>
      </c>
      <c r="T4" s="14"/>
      <c r="U4" s="14"/>
      <c r="V4" s="14">
        <f t="shared" ref="V4:V12" si="3">SUM(P4:U4)</f>
        <v>13339.4</v>
      </c>
      <c r="W4" s="15">
        <f>L4-V4+M4+N4</f>
        <v>354760.6</v>
      </c>
      <c r="X4" s="8"/>
      <c r="Y4" s="8"/>
      <c r="Z4" s="8">
        <v>16749.46</v>
      </c>
      <c r="AA4" s="8">
        <v>69421.2</v>
      </c>
      <c r="AB4" s="8">
        <v>155690.70000000001</v>
      </c>
      <c r="AC4" s="8">
        <v>34505.96</v>
      </c>
      <c r="AD4" s="8"/>
      <c r="AE4" s="14">
        <f t="shared" ref="AE4:AE12" si="4">SUM(X4:AD4)</f>
        <v>276367.32</v>
      </c>
      <c r="AF4" s="15">
        <f t="shared" ref="AF4:AF31" si="5">W4-AE4</f>
        <v>78393.27999999997</v>
      </c>
      <c r="AG4" s="46">
        <f t="shared" ref="AG4:AG31" si="6">AE4/W4</f>
        <v>0.77902484097726754</v>
      </c>
      <c r="AH4" s="88">
        <f>ADSD!AH4</f>
        <v>0</v>
      </c>
      <c r="AI4" s="88">
        <f>ADSD!AI4</f>
        <v>26985.300000000003</v>
      </c>
      <c r="AJ4" s="88">
        <f>ADSD!AJ4</f>
        <v>12239.830000000002</v>
      </c>
      <c r="AK4" s="88">
        <f>ADSD!AK4</f>
        <v>9961.0299999999988</v>
      </c>
      <c r="AL4" s="88">
        <f>ADSD!AL4</f>
        <v>9961.0299999999988</v>
      </c>
      <c r="AM4" s="88">
        <f>ADSD!AM4</f>
        <v>9961.0299999999988</v>
      </c>
      <c r="AN4" s="88">
        <f>ADSD!AN4</f>
        <v>9285.06</v>
      </c>
      <c r="AO4" s="88">
        <f>ADSD!AO4</f>
        <v>0</v>
      </c>
      <c r="AP4" s="88">
        <f>ADSD!AP4</f>
        <v>0</v>
      </c>
      <c r="AQ4" s="88">
        <f>ADSD!AQ4</f>
        <v>0</v>
      </c>
      <c r="AR4" s="88">
        <f>ADSD!AR4</f>
        <v>0</v>
      </c>
      <c r="AS4" s="88">
        <f>ADSD!AS4</f>
        <v>0</v>
      </c>
      <c r="AT4" s="88">
        <f>ADSD!AT4</f>
        <v>0</v>
      </c>
      <c r="AU4" s="88">
        <f>ADSD!AU4</f>
        <v>0</v>
      </c>
      <c r="AV4" s="87">
        <f t="shared" ref="AV4:AV32" si="7">SUM(AH4:AU4)</f>
        <v>78393.279999999999</v>
      </c>
      <c r="AW4" s="87">
        <f t="shared" ref="AW4:AW32" si="8">AV4-AF4</f>
        <v>0</v>
      </c>
      <c r="AX4" s="82" t="str">
        <f>ADSD!AX4</f>
        <v>On-track</v>
      </c>
      <c r="AY4" s="95" t="str">
        <f>ADSD!AY4</f>
        <v>This should be DHS-ADSD not DHHS-DO. 
Projection methodology: 
Monthly Bus Productivity Suite costs plus average monthly cost per the TEJR (temporary employee) for Mar through June (Jan/Feb are based on projected spend for the month). The temporary employee hours will cease once that contracted amount is spent in FY26.</v>
      </c>
    </row>
    <row r="5" spans="1:51" ht="24" customHeight="1" x14ac:dyDescent="0.25">
      <c r="A5" s="62" t="s">
        <v>42</v>
      </c>
      <c r="B5" s="62" t="s">
        <v>43</v>
      </c>
      <c r="C5" s="72" t="s">
        <v>48</v>
      </c>
      <c r="D5" s="63" t="s">
        <v>45</v>
      </c>
      <c r="E5" s="10" t="s">
        <v>46</v>
      </c>
      <c r="F5" s="66" t="s">
        <v>49</v>
      </c>
      <c r="G5" s="12">
        <v>44854</v>
      </c>
      <c r="H5" s="12">
        <v>46387</v>
      </c>
      <c r="I5" s="42">
        <v>3195</v>
      </c>
      <c r="J5" s="30">
        <v>39</v>
      </c>
      <c r="K5" s="13">
        <v>23</v>
      </c>
      <c r="L5" s="15">
        <v>15000000</v>
      </c>
      <c r="M5" s="19"/>
      <c r="N5" s="14"/>
      <c r="O5" s="14">
        <f t="shared" si="2"/>
        <v>15000000</v>
      </c>
      <c r="P5" s="14"/>
      <c r="Q5" s="14"/>
      <c r="R5" s="14"/>
      <c r="S5" s="14"/>
      <c r="T5" s="14"/>
      <c r="U5" s="14"/>
      <c r="V5" s="19">
        <f t="shared" si="3"/>
        <v>0</v>
      </c>
      <c r="W5" s="15">
        <f t="shared" ref="W5:W11" si="9">L5-V5+M5+N5</f>
        <v>15000000</v>
      </c>
      <c r="X5" s="8"/>
      <c r="Y5" s="8"/>
      <c r="Z5" s="8">
        <v>620663.74</v>
      </c>
      <c r="AA5" s="8">
        <v>7583393.6699999999</v>
      </c>
      <c r="AB5" s="8">
        <v>2526979.11</v>
      </c>
      <c r="AC5" s="8">
        <v>2256737.9</v>
      </c>
      <c r="AD5" s="8"/>
      <c r="AE5" s="14">
        <f t="shared" si="4"/>
        <v>12987774.42</v>
      </c>
      <c r="AF5" s="15">
        <f t="shared" si="5"/>
        <v>2012225.58</v>
      </c>
      <c r="AG5" s="46">
        <f t="shared" si="6"/>
        <v>0.86585162800000004</v>
      </c>
      <c r="AH5" s="88">
        <f>DO!AH4</f>
        <v>709747.77</v>
      </c>
      <c r="AI5" s="88">
        <f>DO!AI4</f>
        <v>95434.16</v>
      </c>
      <c r="AJ5" s="88">
        <f>DO!AJ4</f>
        <v>533944.16999999993</v>
      </c>
      <c r="AK5" s="88">
        <f>DO!AK4</f>
        <v>107717.08</v>
      </c>
      <c r="AL5" s="88">
        <f>DO!AL4</f>
        <v>107717.08</v>
      </c>
      <c r="AM5" s="88">
        <f>DO!AM4</f>
        <v>107717.08</v>
      </c>
      <c r="AN5" s="88">
        <f>DO!AN4</f>
        <v>97717.08</v>
      </c>
      <c r="AO5" s="88">
        <f>DO!AO4</f>
        <v>97717.08</v>
      </c>
      <c r="AP5" s="88">
        <f>DO!AP4</f>
        <v>88063.08</v>
      </c>
      <c r="AQ5" s="88">
        <f>DO!AQ4</f>
        <v>66451</v>
      </c>
      <c r="AR5" s="88">
        <f>DO!AR4</f>
        <v>0</v>
      </c>
      <c r="AS5" s="88">
        <f>DO!AS4</f>
        <v>0</v>
      </c>
      <c r="AT5" s="88">
        <f>DO!AT4</f>
        <v>0</v>
      </c>
      <c r="AU5" s="88">
        <f>DO!AU4</f>
        <v>0</v>
      </c>
      <c r="AV5" s="87">
        <f t="shared" si="7"/>
        <v>2012225.5800000005</v>
      </c>
      <c r="AW5" s="87">
        <f t="shared" si="8"/>
        <v>0</v>
      </c>
      <c r="AX5" s="82" t="str">
        <f>DO!AX4</f>
        <v>ON-TRACK</v>
      </c>
      <c r="AY5" s="95" t="str">
        <f>DO!AY4</f>
        <v>- Donor Transplant Testing Facility is now complete and testing donors. The lab has been surveyed by the FDA and CLIA. 
- Transplant Center EMR System (Pheonix module) has been implemented and is utilized by Renown.
- Donor Care Unit- Is currently being renovated and expected date has been moved to March 2026.
- Nevada Transplant Clinic- renovation drawings have been submitted to the City of Las Vegas for approval. Projected date for project completion would be late July or August 2026.</v>
      </c>
    </row>
    <row r="6" spans="1:51" ht="29.1" customHeight="1" x14ac:dyDescent="0.25">
      <c r="A6" s="62" t="s">
        <v>50</v>
      </c>
      <c r="B6" s="62" t="s">
        <v>51</v>
      </c>
      <c r="C6" s="72" t="s">
        <v>52</v>
      </c>
      <c r="D6" s="63" t="s">
        <v>53</v>
      </c>
      <c r="E6" s="10" t="s">
        <v>46</v>
      </c>
      <c r="F6" s="66" t="s">
        <v>54</v>
      </c>
      <c r="G6" s="12">
        <v>45330</v>
      </c>
      <c r="H6" s="12">
        <v>46203</v>
      </c>
      <c r="I6" s="42">
        <v>3151</v>
      </c>
      <c r="J6" s="30">
        <v>41</v>
      </c>
      <c r="K6" s="13">
        <v>24</v>
      </c>
      <c r="L6" s="15">
        <v>7500000</v>
      </c>
      <c r="M6" s="14"/>
      <c r="N6" s="14"/>
      <c r="O6" s="14">
        <f t="shared" si="2"/>
        <v>7500000</v>
      </c>
      <c r="P6" s="14"/>
      <c r="Q6" s="14"/>
      <c r="R6" s="14"/>
      <c r="S6" s="14"/>
      <c r="T6" s="14"/>
      <c r="U6" s="14"/>
      <c r="V6" s="14">
        <f t="shared" si="3"/>
        <v>0</v>
      </c>
      <c r="W6" s="15">
        <f t="shared" si="9"/>
        <v>7500000</v>
      </c>
      <c r="X6" s="8"/>
      <c r="Y6" s="8"/>
      <c r="Z6" s="8">
        <v>55865</v>
      </c>
      <c r="AA6" s="8">
        <v>367393.98</v>
      </c>
      <c r="AB6" s="8">
        <v>3197831.0700000003</v>
      </c>
      <c r="AC6" s="8">
        <v>818303.07000000007</v>
      </c>
      <c r="AD6" s="8"/>
      <c r="AE6" s="14">
        <f t="shared" si="4"/>
        <v>4439393.12</v>
      </c>
      <c r="AF6" s="15">
        <f t="shared" si="5"/>
        <v>3060606.88</v>
      </c>
      <c r="AG6" s="46">
        <f t="shared" si="6"/>
        <v>0.59191908266666671</v>
      </c>
      <c r="AH6" s="88">
        <f>ADSD!AH5</f>
        <v>0</v>
      </c>
      <c r="AI6" s="88">
        <f>ADSD!AI5</f>
        <v>269447.5</v>
      </c>
      <c r="AJ6" s="88">
        <f>ADSD!AJ5</f>
        <v>239747.5</v>
      </c>
      <c r="AK6" s="88">
        <f>ADSD!AK5</f>
        <v>239747.5</v>
      </c>
      <c r="AL6" s="88">
        <f>ADSD!AL5</f>
        <v>239747.5</v>
      </c>
      <c r="AM6" s="88">
        <f>ADSD!AM5</f>
        <v>249747.5</v>
      </c>
      <c r="AN6" s="88">
        <f>ADSD!AN5</f>
        <v>249747.5</v>
      </c>
      <c r="AO6" s="88">
        <f>ADSD!AO5</f>
        <v>487147.5</v>
      </c>
      <c r="AP6" s="88">
        <f>ADSD!AP5</f>
        <v>249747.5</v>
      </c>
      <c r="AQ6" s="88">
        <f>ADSD!AQ5</f>
        <v>232179.33000000002</v>
      </c>
      <c r="AR6" s="88">
        <f>ADSD!AR5</f>
        <v>220347.5</v>
      </c>
      <c r="AS6" s="88">
        <f>ADSD!AS5</f>
        <v>277139.95</v>
      </c>
      <c r="AT6" s="88">
        <f>ADSD!AT5</f>
        <v>105860.1</v>
      </c>
      <c r="AU6" s="88">
        <f>ADSD!AU5</f>
        <v>0</v>
      </c>
      <c r="AV6" s="87">
        <f t="shared" si="7"/>
        <v>3060606.8800000004</v>
      </c>
      <c r="AW6" s="87">
        <f t="shared" si="8"/>
        <v>0</v>
      </c>
      <c r="AX6" s="82" t="str">
        <f>ADSD!AX5</f>
        <v>On-track</v>
      </c>
      <c r="AY6" s="95" t="str">
        <f>ADSD!AY5</f>
        <v>Note that the end date in this file was incorrect.  NOA says 12/31/2026. Projection methodology:
- Guidesoft Inc MSA Contractors  based on monthly average through August 2026, with reduced hours for Sept.-Nov. 2026. 
- O365 based on monthly average costs.
- Insight Public Sector based on contract deliverables.
- Wellsky based on contract deliverables.</v>
      </c>
    </row>
    <row r="7" spans="1:51" ht="39" x14ac:dyDescent="0.25">
      <c r="A7" s="62" t="s">
        <v>50</v>
      </c>
      <c r="B7" s="62" t="s">
        <v>51</v>
      </c>
      <c r="C7" s="72" t="s">
        <v>55</v>
      </c>
      <c r="D7" s="63" t="s">
        <v>53</v>
      </c>
      <c r="E7" s="10" t="s">
        <v>46</v>
      </c>
      <c r="F7" s="66" t="s">
        <v>56</v>
      </c>
      <c r="G7" s="12">
        <v>44854</v>
      </c>
      <c r="H7" s="12">
        <v>46387</v>
      </c>
      <c r="I7" s="42">
        <v>3278</v>
      </c>
      <c r="J7" s="30">
        <v>62</v>
      </c>
      <c r="K7" s="13">
        <v>33</v>
      </c>
      <c r="L7" s="15">
        <v>5000000</v>
      </c>
      <c r="M7" s="19"/>
      <c r="N7" s="14"/>
      <c r="O7" s="14">
        <f t="shared" si="2"/>
        <v>5000000</v>
      </c>
      <c r="P7" s="14">
        <v>0</v>
      </c>
      <c r="Q7" s="14"/>
      <c r="R7" s="14">
        <v>2000000</v>
      </c>
      <c r="S7" s="14"/>
      <c r="T7" s="14"/>
      <c r="U7" s="14"/>
      <c r="V7" s="19">
        <f t="shared" si="3"/>
        <v>2000000</v>
      </c>
      <c r="W7" s="15">
        <f t="shared" si="9"/>
        <v>3000000</v>
      </c>
      <c r="X7" s="8"/>
      <c r="Y7" s="8"/>
      <c r="Z7" s="8"/>
      <c r="AA7" s="8">
        <v>5084.5600000000004</v>
      </c>
      <c r="AB7" s="8">
        <v>360844.61999999994</v>
      </c>
      <c r="AC7" s="8">
        <v>279922.77</v>
      </c>
      <c r="AD7" s="8"/>
      <c r="AE7" s="14">
        <f t="shared" si="4"/>
        <v>645851.94999999995</v>
      </c>
      <c r="AF7" s="15">
        <f t="shared" si="5"/>
        <v>2354148.0499999998</v>
      </c>
      <c r="AG7" s="46">
        <f t="shared" si="6"/>
        <v>0.21528398333333332</v>
      </c>
      <c r="AH7" s="88">
        <f>ADSD!AH6</f>
        <v>98757.22</v>
      </c>
      <c r="AI7" s="88">
        <f>ADSD!AI6</f>
        <v>109357.79</v>
      </c>
      <c r="AJ7" s="88">
        <f>ADSD!AJ6</f>
        <v>109357.79</v>
      </c>
      <c r="AK7" s="88">
        <f>ADSD!AK6</f>
        <v>109357.79</v>
      </c>
      <c r="AL7" s="88">
        <f>ADSD!AL6</f>
        <v>181401.13</v>
      </c>
      <c r="AM7" s="88">
        <f>ADSD!AM6</f>
        <v>128767.24</v>
      </c>
      <c r="AN7" s="88">
        <f>ADSD!AN6</f>
        <v>128767.24</v>
      </c>
      <c r="AO7" s="88">
        <f>ADSD!AO6</f>
        <v>230015.7</v>
      </c>
      <c r="AP7" s="88">
        <f>ADSD!AP6</f>
        <v>230015.7</v>
      </c>
      <c r="AQ7" s="88">
        <f>ADSD!AQ6</f>
        <v>240015.7</v>
      </c>
      <c r="AR7" s="88">
        <f>ADSD!AR6</f>
        <v>229852.26</v>
      </c>
      <c r="AS7" s="88">
        <f>ADSD!AS6</f>
        <v>229852.26</v>
      </c>
      <c r="AT7" s="88">
        <f>ADSD!AT6</f>
        <v>328630.23</v>
      </c>
      <c r="AU7" s="88">
        <f>ADSD!AU6</f>
        <v>0</v>
      </c>
      <c r="AV7" s="87">
        <f t="shared" si="7"/>
        <v>2354148.0499999998</v>
      </c>
      <c r="AW7" s="87">
        <f t="shared" si="8"/>
        <v>0</v>
      </c>
      <c r="AX7" s="82" t="str">
        <f>ADSD!AX6</f>
        <v>On-track</v>
      </c>
      <c r="AY7" s="95" t="str">
        <f>ADSD!AY6</f>
        <v>Projection methodology:
- Public Health Supportive based on project plan.
- KPS3 based on project deliverable schedule.</v>
      </c>
    </row>
    <row r="8" spans="1:51" ht="141" x14ac:dyDescent="0.25">
      <c r="A8" s="62" t="s">
        <v>50</v>
      </c>
      <c r="B8" s="62" t="s">
        <v>51</v>
      </c>
      <c r="C8" s="72" t="s">
        <v>57</v>
      </c>
      <c r="D8" s="63" t="s">
        <v>53</v>
      </c>
      <c r="E8" s="10" t="s">
        <v>46</v>
      </c>
      <c r="F8" s="66" t="s">
        <v>58</v>
      </c>
      <c r="G8" s="12">
        <v>44854</v>
      </c>
      <c r="H8" s="12">
        <v>46203</v>
      </c>
      <c r="I8" s="42">
        <v>3278</v>
      </c>
      <c r="J8" s="30">
        <v>62</v>
      </c>
      <c r="K8" s="13">
        <v>34</v>
      </c>
      <c r="L8" s="15">
        <v>1559280</v>
      </c>
      <c r="M8" s="14"/>
      <c r="N8" s="14"/>
      <c r="O8" s="14">
        <f t="shared" si="2"/>
        <v>1559280</v>
      </c>
      <c r="P8" s="14">
        <v>0</v>
      </c>
      <c r="Q8" s="14"/>
      <c r="R8" s="14">
        <v>59280</v>
      </c>
      <c r="S8" s="14"/>
      <c r="T8" s="14"/>
      <c r="U8" s="14"/>
      <c r="V8" s="14">
        <f t="shared" si="3"/>
        <v>59280</v>
      </c>
      <c r="W8" s="15">
        <f t="shared" si="9"/>
        <v>1500000</v>
      </c>
      <c r="X8" s="8"/>
      <c r="Y8" s="8"/>
      <c r="Z8" s="8"/>
      <c r="AA8" s="8">
        <v>193311.08</v>
      </c>
      <c r="AB8" s="8">
        <v>916278.09000000008</v>
      </c>
      <c r="AC8" s="8">
        <v>0</v>
      </c>
      <c r="AD8" s="8"/>
      <c r="AE8" s="14">
        <f t="shared" si="4"/>
        <v>1109589.1700000002</v>
      </c>
      <c r="AF8" s="15">
        <f t="shared" si="5"/>
        <v>390410.82999999984</v>
      </c>
      <c r="AG8" s="46">
        <f t="shared" si="6"/>
        <v>0.73972611333333349</v>
      </c>
      <c r="AH8" s="88">
        <f>ADSD!AH7</f>
        <v>89886.84</v>
      </c>
      <c r="AI8" s="88">
        <f>ADSD!AI7</f>
        <v>45842</v>
      </c>
      <c r="AJ8" s="88">
        <f>ADSD!AJ7</f>
        <v>46562</v>
      </c>
      <c r="AK8" s="88">
        <f>ADSD!AK7</f>
        <v>46562</v>
      </c>
      <c r="AL8" s="88">
        <f>ADSD!AL7</f>
        <v>46561.15</v>
      </c>
      <c r="AM8" s="88">
        <f>ADSD!AM7</f>
        <v>27640</v>
      </c>
      <c r="AN8" s="88">
        <f>ADSD!AN7</f>
        <v>27640</v>
      </c>
      <c r="AO8" s="88">
        <f>ADSD!AO7</f>
        <v>25487.94</v>
      </c>
      <c r="AP8" s="88">
        <f>ADSD!AP7</f>
        <v>25487.94</v>
      </c>
      <c r="AQ8" s="88">
        <f>ADSD!AQ7</f>
        <v>8740.9599999999991</v>
      </c>
      <c r="AR8" s="88">
        <f>ADSD!AR7</f>
        <v>0</v>
      </c>
      <c r="AS8" s="88">
        <f>ADSD!AS7</f>
        <v>0</v>
      </c>
      <c r="AT8" s="88">
        <f>ADSD!AT7</f>
        <v>0</v>
      </c>
      <c r="AU8" s="88">
        <f>ADSD!AU7</f>
        <v>0</v>
      </c>
      <c r="AV8" s="87">
        <f t="shared" si="7"/>
        <v>390410.83</v>
      </c>
      <c r="AW8" s="87">
        <f t="shared" si="8"/>
        <v>0</v>
      </c>
      <c r="AX8" s="82" t="str">
        <f>ADSD!AX7</f>
        <v>On-track</v>
      </c>
      <c r="AY8" s="95" t="str">
        <f>ADSD!AY7</f>
        <v>Projection methodology:
- Acumen Fiscal Agent based on monthly projections for self-directed service support (Jan.-Dec. 2025 reflects approved services, monthly average used for Dec. 2025-Jun. 2026)
- Washoe County based on projections for direct services,  reflects the monthly average used for Dec. 2025-Feb. 2026)
- Jewish Family Service Agency based on projections for monthly direct service and administrative cost (amount varies by month)</v>
      </c>
    </row>
    <row r="9" spans="1:51" ht="27" customHeight="1" x14ac:dyDescent="0.25">
      <c r="A9" s="62" t="s">
        <v>50</v>
      </c>
      <c r="B9" s="62" t="s">
        <v>51</v>
      </c>
      <c r="C9" s="72" t="s">
        <v>59</v>
      </c>
      <c r="D9" s="63" t="s">
        <v>53</v>
      </c>
      <c r="E9" s="10" t="s">
        <v>46</v>
      </c>
      <c r="F9" s="66" t="s">
        <v>60</v>
      </c>
      <c r="G9" s="12">
        <v>44854</v>
      </c>
      <c r="H9" s="12">
        <v>46387</v>
      </c>
      <c r="I9" s="42">
        <v>3278</v>
      </c>
      <c r="J9" s="30">
        <v>62</v>
      </c>
      <c r="K9" s="13">
        <v>34</v>
      </c>
      <c r="L9" s="15">
        <v>2090000</v>
      </c>
      <c r="M9" s="19"/>
      <c r="N9" s="14"/>
      <c r="O9" s="14">
        <f t="shared" si="2"/>
        <v>2090000</v>
      </c>
      <c r="P9" s="14">
        <v>0</v>
      </c>
      <c r="Q9" s="14"/>
      <c r="R9" s="14">
        <v>59280</v>
      </c>
      <c r="S9" s="14"/>
      <c r="T9" s="14"/>
      <c r="U9" s="14"/>
      <c r="V9" s="19">
        <f t="shared" si="3"/>
        <v>59280</v>
      </c>
      <c r="W9" s="15">
        <f t="shared" si="9"/>
        <v>2030720</v>
      </c>
      <c r="X9" s="8"/>
      <c r="Y9" s="8"/>
      <c r="Z9" s="8"/>
      <c r="AA9" s="8">
        <v>1001269.81</v>
      </c>
      <c r="AB9" s="8">
        <v>942256.52999999991</v>
      </c>
      <c r="AC9" s="8">
        <v>59400.23</v>
      </c>
      <c r="AD9" s="8"/>
      <c r="AE9" s="14">
        <f t="shared" si="4"/>
        <v>2002926.5699999998</v>
      </c>
      <c r="AF9" s="15">
        <f t="shared" si="5"/>
        <v>27793.430000000168</v>
      </c>
      <c r="AG9" s="46">
        <f t="shared" si="6"/>
        <v>0.98631350949416952</v>
      </c>
      <c r="AH9" s="88">
        <f>ADSD!AH8</f>
        <v>1974</v>
      </c>
      <c r="AI9" s="88">
        <f>ADSD!AI8</f>
        <v>4974.3599999999997</v>
      </c>
      <c r="AJ9" s="88">
        <f>ADSD!AJ8</f>
        <v>4974.3599999999997</v>
      </c>
      <c r="AK9" s="88">
        <f>ADSD!AK8</f>
        <v>4974.3599999999997</v>
      </c>
      <c r="AL9" s="88">
        <f>ADSD!AL8</f>
        <v>4974.3599999999997</v>
      </c>
      <c r="AM9" s="88">
        <f>ADSD!AM8</f>
        <v>5921.99</v>
      </c>
      <c r="AN9" s="88">
        <f>ADSD!AN8</f>
        <v>0</v>
      </c>
      <c r="AO9" s="88">
        <f>ADSD!AO8</f>
        <v>0</v>
      </c>
      <c r="AP9" s="88">
        <f>ADSD!AP8</f>
        <v>0</v>
      </c>
      <c r="AQ9" s="88">
        <f>ADSD!AQ8</f>
        <v>0</v>
      </c>
      <c r="AR9" s="88">
        <f>ADSD!AR8</f>
        <v>0</v>
      </c>
      <c r="AS9" s="88">
        <f>ADSD!AS8</f>
        <v>0</v>
      </c>
      <c r="AT9" s="88">
        <f>ADSD!AT8</f>
        <v>0</v>
      </c>
      <c r="AU9" s="88">
        <f>ADSD!AU8</f>
        <v>0</v>
      </c>
      <c r="AV9" s="87">
        <f t="shared" si="7"/>
        <v>27793.43</v>
      </c>
      <c r="AW9" s="87">
        <f t="shared" si="8"/>
        <v>-1.673470251262188E-10</v>
      </c>
      <c r="AX9" s="82" t="str">
        <f>ADSD!AX8</f>
        <v>On-track</v>
      </c>
      <c r="AY9" s="95" t="str">
        <f>ADSD!AY8</f>
        <v>Projection methodology:
-Northern Nevada Bed Bug Relief based on continued costs for direct services (remaining funding allocated across three months, Dec 2025 - May 2026)</v>
      </c>
    </row>
    <row r="10" spans="1:51" ht="36.6" customHeight="1" x14ac:dyDescent="0.25">
      <c r="A10" s="62" t="s">
        <v>50</v>
      </c>
      <c r="B10" s="62" t="s">
        <v>51</v>
      </c>
      <c r="C10" s="74" t="s">
        <v>61</v>
      </c>
      <c r="D10" s="63" t="s">
        <v>53</v>
      </c>
      <c r="E10" s="10" t="s">
        <v>46</v>
      </c>
      <c r="F10" s="66" t="s">
        <v>62</v>
      </c>
      <c r="G10" s="12">
        <v>44854</v>
      </c>
      <c r="H10" s="12">
        <v>46387</v>
      </c>
      <c r="I10" s="42">
        <v>3279</v>
      </c>
      <c r="J10" s="30">
        <v>34</v>
      </c>
      <c r="K10" s="13">
        <v>34</v>
      </c>
      <c r="L10" s="15">
        <v>14520000</v>
      </c>
      <c r="M10" s="14"/>
      <c r="N10" s="14"/>
      <c r="O10" s="14">
        <f t="shared" si="2"/>
        <v>14520000</v>
      </c>
      <c r="P10" s="14"/>
      <c r="Q10" s="14"/>
      <c r="R10" s="14">
        <v>2000000</v>
      </c>
      <c r="S10" s="14"/>
      <c r="T10" s="14"/>
      <c r="U10" s="14"/>
      <c r="V10" s="14">
        <f t="shared" si="3"/>
        <v>2000000</v>
      </c>
      <c r="W10" s="15">
        <f t="shared" si="9"/>
        <v>12520000</v>
      </c>
      <c r="X10" s="8"/>
      <c r="Y10" s="8"/>
      <c r="Z10" s="8"/>
      <c r="AA10" s="8">
        <v>185103.93999999997</v>
      </c>
      <c r="AB10" s="8">
        <v>1468023.9800000004</v>
      </c>
      <c r="AC10" s="8">
        <v>1062721.8799999999</v>
      </c>
      <c r="AD10" s="8"/>
      <c r="AE10" s="14">
        <f t="shared" si="4"/>
        <v>2715849.8000000003</v>
      </c>
      <c r="AF10" s="15">
        <f t="shared" si="5"/>
        <v>9804150.1999999993</v>
      </c>
      <c r="AG10" s="46">
        <f t="shared" si="6"/>
        <v>0.21692091054313101</v>
      </c>
      <c r="AH10" s="88">
        <f>ADSD!AH9</f>
        <v>0</v>
      </c>
      <c r="AI10" s="88">
        <f>ADSD!AI9</f>
        <v>712627.81</v>
      </c>
      <c r="AJ10" s="88">
        <f>ADSD!AJ9</f>
        <v>712627.82</v>
      </c>
      <c r="AK10" s="88">
        <f>ADSD!AK9</f>
        <v>712627.81</v>
      </c>
      <c r="AL10" s="88">
        <f>ADSD!AL9</f>
        <v>920141.99</v>
      </c>
      <c r="AM10" s="88">
        <f>ADSD!AM9</f>
        <v>920141.98</v>
      </c>
      <c r="AN10" s="88">
        <f>ADSD!AN9</f>
        <v>920141.99</v>
      </c>
      <c r="AO10" s="88">
        <f>ADSD!AO9</f>
        <v>720141.98</v>
      </c>
      <c r="AP10" s="88">
        <f>ADSD!AP9</f>
        <v>712627.82</v>
      </c>
      <c r="AQ10" s="88">
        <f>ADSD!AQ9</f>
        <v>712627.81</v>
      </c>
      <c r="AR10" s="88">
        <f>ADSD!AR9</f>
        <v>920141.99</v>
      </c>
      <c r="AS10" s="88">
        <f>ADSD!AS9</f>
        <v>920141.98</v>
      </c>
      <c r="AT10" s="88">
        <f>ADSD!AT9</f>
        <v>920159.22</v>
      </c>
      <c r="AU10" s="88">
        <f>ADSD!AU9</f>
        <v>0</v>
      </c>
      <c r="AV10" s="87">
        <f t="shared" si="7"/>
        <v>9804150.2000000011</v>
      </c>
      <c r="AW10" s="87">
        <f t="shared" si="8"/>
        <v>0</v>
      </c>
      <c r="AX10" s="82" t="str">
        <f>ADSD!AX9</f>
        <v>On-track</v>
      </c>
      <c r="AY10" s="95" t="str">
        <f>ADSD!AY9</f>
        <v>Projection methodology: Reviewed current years budget allocations and programs to calculate the amount needed per month based on expected expenditures</v>
      </c>
    </row>
    <row r="11" spans="1:51" ht="20.100000000000001" customHeight="1" x14ac:dyDescent="0.25">
      <c r="A11" s="62" t="s">
        <v>50</v>
      </c>
      <c r="B11" s="62" t="s">
        <v>51</v>
      </c>
      <c r="C11" s="72" t="s">
        <v>63</v>
      </c>
      <c r="D11" s="63" t="s">
        <v>53</v>
      </c>
      <c r="E11" s="20" t="s">
        <v>46</v>
      </c>
      <c r="F11" s="66" t="s">
        <v>64</v>
      </c>
      <c r="G11" s="12">
        <v>44854</v>
      </c>
      <c r="H11" s="12">
        <v>46112</v>
      </c>
      <c r="I11" s="42">
        <v>3278</v>
      </c>
      <c r="J11" s="30">
        <v>63</v>
      </c>
      <c r="K11" s="13">
        <v>33</v>
      </c>
      <c r="L11" s="21">
        <v>4000000</v>
      </c>
      <c r="M11" s="19"/>
      <c r="N11" s="19"/>
      <c r="O11" s="19">
        <f t="shared" si="2"/>
        <v>4000000</v>
      </c>
      <c r="P11" s="14"/>
      <c r="Q11" s="14"/>
      <c r="R11" s="14"/>
      <c r="S11" s="19"/>
      <c r="T11" s="19"/>
      <c r="U11" s="19"/>
      <c r="V11" s="19">
        <f t="shared" si="3"/>
        <v>0</v>
      </c>
      <c r="W11" s="21">
        <f t="shared" si="9"/>
        <v>4000000</v>
      </c>
      <c r="X11" s="8"/>
      <c r="Y11" s="8"/>
      <c r="Z11" s="8"/>
      <c r="AA11" s="8">
        <v>127023.52</v>
      </c>
      <c r="AB11" s="8">
        <v>3144731.7399999998</v>
      </c>
      <c r="AC11" s="8">
        <v>598370.33000000007</v>
      </c>
      <c r="AD11" s="8"/>
      <c r="AE11" s="19">
        <f t="shared" si="4"/>
        <v>3870125.59</v>
      </c>
      <c r="AF11" s="21">
        <f t="shared" si="5"/>
        <v>129874.41000000015</v>
      </c>
      <c r="AG11" s="46">
        <f t="shared" si="6"/>
        <v>0.96753139749999995</v>
      </c>
      <c r="AH11" s="88">
        <f>ADSD!AH10</f>
        <v>0</v>
      </c>
      <c r="AI11" s="88">
        <f>ADSD!AI10</f>
        <v>64937.2</v>
      </c>
      <c r="AJ11" s="88">
        <f>ADSD!AJ10</f>
        <v>64937.21</v>
      </c>
      <c r="AK11" s="88">
        <f>ADSD!AK10</f>
        <v>0</v>
      </c>
      <c r="AL11" s="88">
        <f>ADSD!AL10</f>
        <v>0</v>
      </c>
      <c r="AM11" s="88">
        <f>ADSD!AM10</f>
        <v>0</v>
      </c>
      <c r="AN11" s="88">
        <f>ADSD!AN10</f>
        <v>0</v>
      </c>
      <c r="AO11" s="88">
        <f>ADSD!AO10</f>
        <v>0</v>
      </c>
      <c r="AP11" s="88">
        <f>ADSD!AP10</f>
        <v>0</v>
      </c>
      <c r="AQ11" s="88">
        <f>ADSD!AQ10</f>
        <v>0</v>
      </c>
      <c r="AR11" s="88">
        <f>ADSD!AR10</f>
        <v>0</v>
      </c>
      <c r="AS11" s="88">
        <f>ADSD!AS10</f>
        <v>0</v>
      </c>
      <c r="AT11" s="88">
        <f>ADSD!AT10</f>
        <v>0</v>
      </c>
      <c r="AU11" s="88">
        <f>ADSD!AU10</f>
        <v>0</v>
      </c>
      <c r="AV11" s="87">
        <f t="shared" si="7"/>
        <v>129874.41</v>
      </c>
      <c r="AW11" s="87">
        <f t="shared" si="8"/>
        <v>-1.4551915228366852E-10</v>
      </c>
      <c r="AX11" s="82" t="str">
        <f>ADSD!AX10</f>
        <v>On-track</v>
      </c>
      <c r="AY11" s="95" t="str">
        <f>ADSD!AY10</f>
        <v>Projection methodology:
-Quinns Desert Home Inc. reflects completed activities through Dec. 2025.
- EKODS based on project schedule (monthly average for remaining months of project Jan - Feb 2026)</v>
      </c>
    </row>
    <row r="12" spans="1:51" ht="153.75" x14ac:dyDescent="0.25">
      <c r="A12" s="62" t="s">
        <v>50</v>
      </c>
      <c r="B12" s="62" t="s">
        <v>51</v>
      </c>
      <c r="C12" s="72" t="s">
        <v>65</v>
      </c>
      <c r="D12" s="63" t="s">
        <v>53</v>
      </c>
      <c r="E12" s="10" t="s">
        <v>46</v>
      </c>
      <c r="F12" s="66" t="s">
        <v>66</v>
      </c>
      <c r="G12" s="12">
        <v>44854</v>
      </c>
      <c r="H12" s="12">
        <v>46387</v>
      </c>
      <c r="I12" s="42">
        <v>3278</v>
      </c>
      <c r="J12" s="30">
        <v>62</v>
      </c>
      <c r="K12" s="13">
        <v>34</v>
      </c>
      <c r="L12" s="15">
        <v>1646881</v>
      </c>
      <c r="M12" s="19"/>
      <c r="N12" s="14"/>
      <c r="O12" s="14">
        <f t="shared" si="2"/>
        <v>1646881</v>
      </c>
      <c r="P12" s="14">
        <v>0</v>
      </c>
      <c r="Q12" s="14"/>
      <c r="R12" s="14">
        <v>500000</v>
      </c>
      <c r="S12" s="14"/>
      <c r="T12" s="14"/>
      <c r="U12" s="14"/>
      <c r="V12" s="19">
        <f t="shared" si="3"/>
        <v>500000</v>
      </c>
      <c r="W12" s="15">
        <f t="shared" ref="W12:W31" si="10">L12-V12+M12+N12</f>
        <v>1146881</v>
      </c>
      <c r="X12" s="8"/>
      <c r="Y12" s="8"/>
      <c r="Z12" s="8"/>
      <c r="AA12" s="8">
        <v>225000</v>
      </c>
      <c r="AB12" s="8">
        <v>478445.95999999985</v>
      </c>
      <c r="AC12" s="8">
        <v>68218.67</v>
      </c>
      <c r="AD12" s="8"/>
      <c r="AE12" s="14">
        <f t="shared" si="4"/>
        <v>771664.62999999989</v>
      </c>
      <c r="AF12" s="15">
        <f t="shared" si="5"/>
        <v>375216.37000000011</v>
      </c>
      <c r="AG12" s="46">
        <f t="shared" si="6"/>
        <v>0.6728375742557422</v>
      </c>
      <c r="AH12" s="88">
        <f>ADSD!AH11</f>
        <v>17845.21</v>
      </c>
      <c r="AI12" s="88">
        <f>ADSD!AI11</f>
        <v>29140.65</v>
      </c>
      <c r="AJ12" s="88">
        <f>ADSD!AJ11</f>
        <v>44140.65</v>
      </c>
      <c r="AK12" s="88">
        <f>ADSD!AK11</f>
        <v>46138.09</v>
      </c>
      <c r="AL12" s="88">
        <f>ADSD!AL11</f>
        <v>46138.09</v>
      </c>
      <c r="AM12" s="88">
        <f>ADSD!AM11</f>
        <v>46138.09</v>
      </c>
      <c r="AN12" s="88">
        <f>ADSD!AN11</f>
        <v>51138.09</v>
      </c>
      <c r="AO12" s="88">
        <f>ADSD!AO11</f>
        <v>46037.77</v>
      </c>
      <c r="AP12" s="88">
        <f>ADSD!AP11</f>
        <v>48499.73</v>
      </c>
      <c r="AQ12" s="88">
        <f>ADSD!AQ11</f>
        <v>0</v>
      </c>
      <c r="AR12" s="88">
        <f>ADSD!AR11</f>
        <v>0</v>
      </c>
      <c r="AS12" s="88">
        <f>ADSD!AS11</f>
        <v>0</v>
      </c>
      <c r="AT12" s="88">
        <f>ADSD!AT11</f>
        <v>0</v>
      </c>
      <c r="AU12" s="88">
        <f>ADSD!AU11</f>
        <v>0</v>
      </c>
      <c r="AV12" s="87">
        <f t="shared" si="7"/>
        <v>375216.37</v>
      </c>
      <c r="AW12" s="87">
        <f t="shared" si="8"/>
        <v>0</v>
      </c>
      <c r="AX12" s="82" t="str">
        <f>ADSD!AX11</f>
        <v>On-track</v>
      </c>
      <c r="AY12" s="95" t="str">
        <f>ADSD!AY11</f>
        <v>Projection methodology:
- Money Management International based on monthly contract amount.
- Jewish Family Service Agency, Lyon County, and Access to Healthcare Network based on remaining balance and award, split across remaining months.
- KPS3 based on contract deliverables (Start date for additional deliverable in Jan. 2026, continuing through Jun. 2026.)
- Nevada Public Health Foundation based on contract deliverables (Higher amount in Apr. and Jun. 2026, other months in project period at $10k.)</v>
      </c>
    </row>
    <row r="13" spans="1:51" ht="38.25" x14ac:dyDescent="0.25">
      <c r="A13" s="62" t="s">
        <v>67</v>
      </c>
      <c r="B13" s="64" t="s">
        <v>68</v>
      </c>
      <c r="C13" s="72" t="s">
        <v>69</v>
      </c>
      <c r="D13" s="63" t="s">
        <v>70</v>
      </c>
      <c r="E13" s="10" t="s">
        <v>46</v>
      </c>
      <c r="F13" s="66" t="s">
        <v>71</v>
      </c>
      <c r="G13" s="12">
        <v>44854</v>
      </c>
      <c r="H13" s="12">
        <v>46203</v>
      </c>
      <c r="I13" s="42">
        <v>3158</v>
      </c>
      <c r="J13" s="30">
        <v>18</v>
      </c>
      <c r="K13" s="13">
        <v>24</v>
      </c>
      <c r="L13" s="15">
        <v>3499995</v>
      </c>
      <c r="M13" s="14"/>
      <c r="N13" s="14"/>
      <c r="O13" s="14">
        <f t="shared" ref="O13:O35" si="11">SUM(L13:N13)</f>
        <v>3499995</v>
      </c>
      <c r="P13" s="14"/>
      <c r="Q13" s="14"/>
      <c r="R13" s="14"/>
      <c r="S13" s="14"/>
      <c r="T13" s="14"/>
      <c r="U13" s="14"/>
      <c r="V13" s="14">
        <f t="shared" ref="V13:V34" si="12">SUM(P13:U13)</f>
        <v>0</v>
      </c>
      <c r="W13" s="15">
        <f t="shared" si="10"/>
        <v>3499995</v>
      </c>
      <c r="X13" s="8"/>
      <c r="Y13" s="8"/>
      <c r="Z13" s="8">
        <v>644967.5</v>
      </c>
      <c r="AA13" s="8">
        <v>813340</v>
      </c>
      <c r="AB13" s="8">
        <v>907183</v>
      </c>
      <c r="AC13" s="8">
        <v>0</v>
      </c>
      <c r="AD13" s="8"/>
      <c r="AE13" s="14">
        <f t="shared" ref="AE13:AE35" si="13">SUM(X13:AD13)</f>
        <v>2365490.5</v>
      </c>
      <c r="AF13" s="15">
        <f t="shared" si="5"/>
        <v>1134504.5</v>
      </c>
      <c r="AG13" s="46">
        <f t="shared" si="6"/>
        <v>0.67585539407913442</v>
      </c>
      <c r="AH13" s="88"/>
      <c r="AI13" s="88"/>
      <c r="AJ13" s="88"/>
      <c r="AK13" s="88"/>
      <c r="AL13" s="88"/>
      <c r="AM13" s="88"/>
      <c r="AN13" s="88"/>
      <c r="AO13" s="88"/>
      <c r="AP13" s="88"/>
      <c r="AQ13" s="88"/>
      <c r="AR13" s="88"/>
      <c r="AS13" s="88"/>
      <c r="AT13" s="88"/>
      <c r="AU13" s="88"/>
      <c r="AV13" s="87">
        <f t="shared" si="7"/>
        <v>0</v>
      </c>
      <c r="AW13" s="87">
        <f t="shared" si="8"/>
        <v>-1134504.5</v>
      </c>
      <c r="AX13" s="82"/>
      <c r="AY13" s="82"/>
    </row>
    <row r="14" spans="1:51" x14ac:dyDescent="0.25">
      <c r="A14" s="62" t="s">
        <v>67</v>
      </c>
      <c r="B14" s="62" t="s">
        <v>72</v>
      </c>
      <c r="C14" s="72" t="s">
        <v>73</v>
      </c>
      <c r="D14" s="63" t="s">
        <v>70</v>
      </c>
      <c r="E14" s="10" t="s">
        <v>46</v>
      </c>
      <c r="F14" s="66" t="s">
        <v>74</v>
      </c>
      <c r="G14" s="12">
        <v>44854</v>
      </c>
      <c r="H14" s="12">
        <v>46203</v>
      </c>
      <c r="I14" s="42">
        <v>3158</v>
      </c>
      <c r="J14" s="30">
        <v>35</v>
      </c>
      <c r="K14" s="13">
        <v>33</v>
      </c>
      <c r="L14" s="15">
        <v>2736000</v>
      </c>
      <c r="M14" s="14">
        <v>160574.21</v>
      </c>
      <c r="N14" s="14"/>
      <c r="O14" s="14">
        <f t="shared" si="11"/>
        <v>2896574.21</v>
      </c>
      <c r="P14" s="14"/>
      <c r="Q14" s="14"/>
      <c r="R14" s="14"/>
      <c r="S14" s="14"/>
      <c r="T14" s="14"/>
      <c r="U14" s="14"/>
      <c r="V14" s="14">
        <f t="shared" si="12"/>
        <v>0</v>
      </c>
      <c r="W14" s="15">
        <f t="shared" si="10"/>
        <v>2896574.21</v>
      </c>
      <c r="X14" s="8"/>
      <c r="Y14" s="8"/>
      <c r="Z14" s="8">
        <v>23227.96</v>
      </c>
      <c r="AA14" s="8">
        <v>1227990.6600000001</v>
      </c>
      <c r="AB14" s="8">
        <v>1024341.9400000001</v>
      </c>
      <c r="AC14" s="8">
        <v>15384.8</v>
      </c>
      <c r="AD14" s="8"/>
      <c r="AE14" s="14">
        <f t="shared" si="13"/>
        <v>2290945.36</v>
      </c>
      <c r="AF14" s="15">
        <f t="shared" si="5"/>
        <v>605628.85000000009</v>
      </c>
      <c r="AG14" s="46">
        <f t="shared" si="6"/>
        <v>0.79091547252297045</v>
      </c>
      <c r="AH14" s="88"/>
      <c r="AI14" s="88"/>
      <c r="AJ14" s="88"/>
      <c r="AK14" s="88"/>
      <c r="AL14" s="88"/>
      <c r="AM14" s="88"/>
      <c r="AN14" s="88"/>
      <c r="AO14" s="88"/>
      <c r="AP14" s="88"/>
      <c r="AQ14" s="88"/>
      <c r="AR14" s="88"/>
      <c r="AS14" s="88"/>
      <c r="AT14" s="88"/>
      <c r="AU14" s="88"/>
      <c r="AV14" s="87">
        <f t="shared" si="7"/>
        <v>0</v>
      </c>
      <c r="AW14" s="87">
        <f t="shared" si="8"/>
        <v>-605628.85000000009</v>
      </c>
      <c r="AX14" s="82"/>
      <c r="AY14" s="82"/>
    </row>
    <row r="15" spans="1:51" ht="36" customHeight="1" x14ac:dyDescent="0.25">
      <c r="A15" s="62" t="s">
        <v>67</v>
      </c>
      <c r="B15" s="64" t="s">
        <v>68</v>
      </c>
      <c r="C15" s="72" t="s">
        <v>75</v>
      </c>
      <c r="D15" s="63" t="s">
        <v>70</v>
      </c>
      <c r="E15" s="10" t="s">
        <v>46</v>
      </c>
      <c r="F15" s="66" t="s">
        <v>76</v>
      </c>
      <c r="G15" s="12">
        <v>44854</v>
      </c>
      <c r="H15" s="12">
        <v>46203</v>
      </c>
      <c r="I15" s="42">
        <v>3158</v>
      </c>
      <c r="J15" s="30">
        <v>34</v>
      </c>
      <c r="K15" s="13">
        <v>24</v>
      </c>
      <c r="L15" s="15">
        <v>1383665</v>
      </c>
      <c r="M15" s="14"/>
      <c r="N15" s="14"/>
      <c r="O15" s="14">
        <f t="shared" si="11"/>
        <v>1383665</v>
      </c>
      <c r="P15" s="14"/>
      <c r="Q15" s="14"/>
      <c r="R15" s="14"/>
      <c r="S15" s="14"/>
      <c r="T15" s="14"/>
      <c r="U15" s="14"/>
      <c r="V15" s="14">
        <f t="shared" si="12"/>
        <v>0</v>
      </c>
      <c r="W15" s="15">
        <f t="shared" si="10"/>
        <v>1383665</v>
      </c>
      <c r="X15" s="8"/>
      <c r="Y15" s="8"/>
      <c r="Z15" s="8"/>
      <c r="AA15" s="8">
        <v>370000</v>
      </c>
      <c r="AB15" s="8">
        <v>898658.78999999992</v>
      </c>
      <c r="AC15" s="8">
        <v>83467.27</v>
      </c>
      <c r="AD15" s="8"/>
      <c r="AE15" s="14">
        <f t="shared" si="13"/>
        <v>1352126.06</v>
      </c>
      <c r="AF15" s="15">
        <f t="shared" si="5"/>
        <v>31538.939999999944</v>
      </c>
      <c r="AG15" s="46">
        <f t="shared" si="6"/>
        <v>0.9772062312770794</v>
      </c>
      <c r="AH15" s="88"/>
      <c r="AI15" s="88"/>
      <c r="AJ15" s="88"/>
      <c r="AK15" s="88"/>
      <c r="AL15" s="88"/>
      <c r="AM15" s="88"/>
      <c r="AN15" s="88"/>
      <c r="AO15" s="88"/>
      <c r="AP15" s="88"/>
      <c r="AQ15" s="88"/>
      <c r="AR15" s="88"/>
      <c r="AS15" s="88"/>
      <c r="AT15" s="88"/>
      <c r="AU15" s="88"/>
      <c r="AV15" s="87">
        <f t="shared" si="7"/>
        <v>0</v>
      </c>
      <c r="AW15" s="87">
        <f t="shared" si="8"/>
        <v>-31538.939999999944</v>
      </c>
      <c r="AX15" s="82"/>
      <c r="AY15" s="82"/>
    </row>
    <row r="16" spans="1:51" ht="87" customHeight="1" x14ac:dyDescent="0.25">
      <c r="A16" s="62" t="s">
        <v>77</v>
      </c>
      <c r="B16" s="62" t="s">
        <v>78</v>
      </c>
      <c r="C16" s="72" t="s">
        <v>79</v>
      </c>
      <c r="D16" s="63" t="s">
        <v>80</v>
      </c>
      <c r="E16" s="10" t="s">
        <v>46</v>
      </c>
      <c r="F16" s="66" t="s">
        <v>81</v>
      </c>
      <c r="G16" s="12">
        <v>44686</v>
      </c>
      <c r="H16" s="12">
        <v>46203</v>
      </c>
      <c r="I16" s="30">
        <v>3223</v>
      </c>
      <c r="J16" s="30">
        <v>19</v>
      </c>
      <c r="K16" s="13">
        <v>24</v>
      </c>
      <c r="L16" s="15">
        <v>477606</v>
      </c>
      <c r="M16" s="19"/>
      <c r="N16" s="14"/>
      <c r="O16" s="14">
        <f t="shared" si="11"/>
        <v>477606</v>
      </c>
      <c r="P16" s="14"/>
      <c r="Q16" s="14"/>
      <c r="R16" s="14"/>
      <c r="S16" s="14"/>
      <c r="T16" s="14"/>
      <c r="U16" s="14"/>
      <c r="V16" s="19">
        <f t="shared" si="12"/>
        <v>0</v>
      </c>
      <c r="W16" s="15">
        <f t="shared" si="10"/>
        <v>477606</v>
      </c>
      <c r="X16" s="8"/>
      <c r="Y16" s="8"/>
      <c r="Z16" s="8">
        <v>326628</v>
      </c>
      <c r="AA16" s="8">
        <v>60282</v>
      </c>
      <c r="AB16" s="8">
        <v>39664.199999999997</v>
      </c>
      <c r="AC16" s="8">
        <v>120</v>
      </c>
      <c r="AD16" s="8"/>
      <c r="AE16" s="14">
        <f t="shared" si="13"/>
        <v>426694.2</v>
      </c>
      <c r="AF16" s="15">
        <f t="shared" si="5"/>
        <v>50911.799999999988</v>
      </c>
      <c r="AG16" s="46">
        <f t="shared" si="6"/>
        <v>0.8934020929385309</v>
      </c>
      <c r="AH16" s="88" t="str">
        <f>DPBH!AH4</f>
        <v>N/A</v>
      </c>
      <c r="AI16" s="88">
        <f>DPBH!AI4</f>
        <v>8485.2999999999993</v>
      </c>
      <c r="AJ16" s="88">
        <f>DPBH!AJ4</f>
        <v>8485.2999999999993</v>
      </c>
      <c r="AK16" s="88">
        <f>DPBH!AK4</f>
        <v>8485.2999999999993</v>
      </c>
      <c r="AL16" s="88">
        <f>DPBH!AL4</f>
        <v>8485.2999999999993</v>
      </c>
      <c r="AM16" s="88">
        <f>DPBH!AM4</f>
        <v>8485.2999999999993</v>
      </c>
      <c r="AN16" s="88">
        <f>DPBH!AN4</f>
        <v>8485.2999999999993</v>
      </c>
      <c r="AO16" s="88" t="str">
        <f>DPBH!AO4</f>
        <v> </v>
      </c>
      <c r="AP16" s="88" t="str">
        <f>DPBH!AP4</f>
        <v> </v>
      </c>
      <c r="AQ16" s="88" t="str">
        <f>DPBH!AQ4</f>
        <v> </v>
      </c>
      <c r="AR16" s="88" t="str">
        <f>DPBH!AR4</f>
        <v> </v>
      </c>
      <c r="AS16" s="88" t="str">
        <f>DPBH!AS4</f>
        <v> </v>
      </c>
      <c r="AT16" s="88" t="str">
        <f>DPBH!AT4</f>
        <v> </v>
      </c>
      <c r="AU16" s="88">
        <f>DPBH!AU4</f>
        <v>0</v>
      </c>
      <c r="AV16" s="87">
        <f t="shared" si="7"/>
        <v>50911.8</v>
      </c>
      <c r="AW16" s="87">
        <f t="shared" si="8"/>
        <v>0</v>
      </c>
      <c r="AX16" s="82" t="str">
        <f>DPBH!AX4</f>
        <v>On Track</v>
      </c>
      <c r="AY16" s="95" t="str">
        <f>DPBH!AY4</f>
        <v>Project performance period extended for continued work and support of completing project tasks.  System configuration updates are required for templates and documents. Some updates to functionality as well. Spend plan calculated on equal amounts for remaining months of project.</v>
      </c>
    </row>
    <row r="17" spans="1:51" ht="96" customHeight="1" x14ac:dyDescent="0.25">
      <c r="A17" s="62" t="s">
        <v>77</v>
      </c>
      <c r="B17" s="62" t="s">
        <v>78</v>
      </c>
      <c r="C17" s="71" t="s">
        <v>82</v>
      </c>
      <c r="D17" s="63" t="s">
        <v>80</v>
      </c>
      <c r="E17" s="10" t="s">
        <v>46</v>
      </c>
      <c r="F17" s="66" t="s">
        <v>83</v>
      </c>
      <c r="G17" s="12">
        <v>45108</v>
      </c>
      <c r="H17" s="12">
        <v>46477</v>
      </c>
      <c r="I17" s="30">
        <v>3223</v>
      </c>
      <c r="J17" s="42" t="s">
        <v>84</v>
      </c>
      <c r="K17" s="13">
        <v>24</v>
      </c>
      <c r="L17" s="15">
        <f>284159+268286</f>
        <v>552445</v>
      </c>
      <c r="M17" s="19">
        <v>404873</v>
      </c>
      <c r="N17" s="14"/>
      <c r="O17" s="14">
        <f t="shared" si="11"/>
        <v>957318</v>
      </c>
      <c r="P17" s="17"/>
      <c r="Q17" s="17"/>
      <c r="R17" s="14"/>
      <c r="S17" s="14"/>
      <c r="T17" s="14"/>
      <c r="U17" s="14"/>
      <c r="V17" s="19">
        <f t="shared" si="12"/>
        <v>0</v>
      </c>
      <c r="W17" s="15">
        <f t="shared" si="10"/>
        <v>957318</v>
      </c>
      <c r="X17" s="8"/>
      <c r="Y17" s="8"/>
      <c r="Z17" s="8"/>
      <c r="AA17" s="8">
        <v>249208.08</v>
      </c>
      <c r="AB17" s="8">
        <v>252955.18</v>
      </c>
      <c r="AC17" s="8">
        <v>123460.88</v>
      </c>
      <c r="AD17" s="8"/>
      <c r="AE17" s="14">
        <f>SUM(X17:AD17)</f>
        <v>625624.14</v>
      </c>
      <c r="AF17" s="15">
        <f t="shared" si="5"/>
        <v>331693.86</v>
      </c>
      <c r="AG17" s="46">
        <f t="shared" si="6"/>
        <v>0.65351757723139026</v>
      </c>
      <c r="AH17" s="88" t="str">
        <f>DPBH!AH5</f>
        <v>N/A</v>
      </c>
      <c r="AI17" s="88">
        <f>DPBH!AI5</f>
        <v>57650.45</v>
      </c>
      <c r="AJ17" s="88">
        <f>DPBH!AJ5</f>
        <v>24913.040000000001</v>
      </c>
      <c r="AK17" s="88">
        <f>DPBH!AK5</f>
        <v>24913.040000000001</v>
      </c>
      <c r="AL17" s="88">
        <f>DPBH!AL5</f>
        <v>24913.040000000001</v>
      </c>
      <c r="AM17" s="88">
        <f>DPBH!AM5</f>
        <v>24913.040000000001</v>
      </c>
      <c r="AN17" s="88">
        <f>DPBH!AN5</f>
        <v>24913.040000000001</v>
      </c>
      <c r="AO17" s="88">
        <f>DPBH!AO5</f>
        <v>24913.040000000001</v>
      </c>
      <c r="AP17" s="88">
        <f>DPBH!AP5</f>
        <v>24913.040000000001</v>
      </c>
      <c r="AQ17" s="88">
        <f>DPBH!AQ5</f>
        <v>24913.040000000001</v>
      </c>
      <c r="AR17" s="88">
        <f>DPBH!AR5</f>
        <v>24913.040000000001</v>
      </c>
      <c r="AS17" s="88">
        <f>DPBH!AS5</f>
        <v>24913.040000000001</v>
      </c>
      <c r="AT17" s="88">
        <f>DPBH!AT5</f>
        <v>24913.01</v>
      </c>
      <c r="AU17" s="88">
        <f>DPBH!AU5</f>
        <v>0</v>
      </c>
      <c r="AV17" s="87">
        <f t="shared" si="7"/>
        <v>331693.86000000004</v>
      </c>
      <c r="AW17" s="87">
        <f t="shared" si="8"/>
        <v>0</v>
      </c>
      <c r="AX17" s="82" t="str">
        <f>DPBH!AX5</f>
        <v>On Track</v>
      </c>
      <c r="AY17" s="95" t="str">
        <f>DPBH!AY5</f>
        <v>Project performance period extended for continued work and support of completing project tasks. Project on-track to fully expend all funds. Spend plan calculated on equal amounts for remaining months of project.</v>
      </c>
    </row>
    <row r="18" spans="1:51" ht="50.85" customHeight="1" x14ac:dyDescent="0.25">
      <c r="A18" s="62" t="s">
        <v>77</v>
      </c>
      <c r="B18" s="62" t="s">
        <v>78</v>
      </c>
      <c r="C18" s="72" t="s">
        <v>85</v>
      </c>
      <c r="D18" s="63" t="s">
        <v>80</v>
      </c>
      <c r="E18" s="10" t="s">
        <v>46</v>
      </c>
      <c r="F18" s="66" t="s">
        <v>86</v>
      </c>
      <c r="G18" s="12">
        <v>44854</v>
      </c>
      <c r="H18" s="12">
        <v>46387</v>
      </c>
      <c r="I18" s="42">
        <v>3219</v>
      </c>
      <c r="J18" s="30">
        <v>34</v>
      </c>
      <c r="K18" s="13">
        <v>33</v>
      </c>
      <c r="L18" s="15">
        <v>5000000</v>
      </c>
      <c r="M18" s="19"/>
      <c r="N18" s="14"/>
      <c r="O18" s="14">
        <f t="shared" si="11"/>
        <v>5000000</v>
      </c>
      <c r="P18" s="14"/>
      <c r="Q18" s="14"/>
      <c r="R18" s="14"/>
      <c r="S18" s="14"/>
      <c r="T18" s="14"/>
      <c r="U18" s="14"/>
      <c r="V18" s="19">
        <f t="shared" si="12"/>
        <v>0</v>
      </c>
      <c r="W18" s="15">
        <f t="shared" si="10"/>
        <v>5000000</v>
      </c>
      <c r="X18" s="8"/>
      <c r="Y18" s="8"/>
      <c r="Z18" s="8">
        <v>5642.56</v>
      </c>
      <c r="AA18" s="8">
        <v>191705.75</v>
      </c>
      <c r="AB18" s="8">
        <v>1516993.51</v>
      </c>
      <c r="AC18" s="8">
        <v>698848.24</v>
      </c>
      <c r="AD18" s="8"/>
      <c r="AE18" s="14">
        <f t="shared" si="13"/>
        <v>2413190.06</v>
      </c>
      <c r="AF18" s="15">
        <f t="shared" si="5"/>
        <v>2586809.94</v>
      </c>
      <c r="AG18" s="46">
        <f t="shared" si="6"/>
        <v>0.48263801200000001</v>
      </c>
      <c r="AH18" s="88" t="str">
        <f>DPBH!AH6</f>
        <v>N/A</v>
      </c>
      <c r="AI18" s="88">
        <f>DPBH!AI6</f>
        <v>186132.26</v>
      </c>
      <c r="AJ18" s="88">
        <f>DPBH!AJ6</f>
        <v>237554.2</v>
      </c>
      <c r="AK18" s="88">
        <f>DPBH!AK6</f>
        <v>326139.26</v>
      </c>
      <c r="AL18" s="88">
        <f>DPBH!AL6</f>
        <v>190092.26</v>
      </c>
      <c r="AM18" s="88">
        <f>DPBH!AM6</f>
        <v>186132.26</v>
      </c>
      <c r="AN18" s="88">
        <f>DPBH!AN6</f>
        <v>202423.75</v>
      </c>
      <c r="AO18" s="88">
        <f>DPBH!AO6</f>
        <v>288465.89</v>
      </c>
      <c r="AP18" s="88">
        <f>DPBH!AP6</f>
        <v>341854.92</v>
      </c>
      <c r="AQ18" s="88">
        <f>DPBH!AQ6</f>
        <v>177988.62</v>
      </c>
      <c r="AR18" s="88">
        <f>DPBH!AR6</f>
        <v>264410.88</v>
      </c>
      <c r="AS18" s="88">
        <f>DPBH!AS6</f>
        <v>185615.64</v>
      </c>
      <c r="AT18" s="88" t="str">
        <f>DPBH!AT6</f>
        <v> </v>
      </c>
      <c r="AU18" s="88">
        <f>DPBH!AU6</f>
        <v>0</v>
      </c>
      <c r="AV18" s="87">
        <f t="shared" si="7"/>
        <v>2586809.94</v>
      </c>
      <c r="AW18" s="87">
        <f t="shared" si="8"/>
        <v>0</v>
      </c>
      <c r="AX18" s="82" t="str">
        <f>DPBH!AX6</f>
        <v>On Track</v>
      </c>
      <c r="AY18" s="95" t="str">
        <f>DPBH!AY6</f>
        <v>Total completed applications received for Fall 2025 for ARPA Scholarships: Total=121; Completed Applications selected for review: 57 (Undergraduate= 8; Master's= 25; Doctoral=24). Total scholarships disbursed for Fall 2025: 41 (Undergraduate= 6; Master's= 11 (4 additional scholarships were given after budget readjustments approved by the NV Division of Public and Behavioral Health) 11+4=15;Doctoral=20). Applications announcements were sent to all School of Public Health students for Spring 2026 Semester, with emphasis on the contingency to funding acquired from the sponsors. As of January 16, 2026, 52 applications have been recived</v>
      </c>
    </row>
    <row r="19" spans="1:51" s="18" customFormat="1" ht="53.85" customHeight="1" x14ac:dyDescent="0.25">
      <c r="A19" s="62" t="s">
        <v>77</v>
      </c>
      <c r="B19" s="62" t="s">
        <v>78</v>
      </c>
      <c r="C19" s="72" t="s">
        <v>87</v>
      </c>
      <c r="D19" s="63" t="s">
        <v>80</v>
      </c>
      <c r="E19" s="11" t="s">
        <v>46</v>
      </c>
      <c r="F19" s="67" t="s">
        <v>88</v>
      </c>
      <c r="G19" s="23">
        <v>44743</v>
      </c>
      <c r="H19" s="23">
        <v>46203</v>
      </c>
      <c r="I19" s="44">
        <v>3165</v>
      </c>
      <c r="J19" s="43">
        <v>63</v>
      </c>
      <c r="K19" s="24">
        <v>29</v>
      </c>
      <c r="L19" s="25">
        <v>20000000</v>
      </c>
      <c r="M19" s="22"/>
      <c r="N19" s="22"/>
      <c r="O19" s="22">
        <f t="shared" si="11"/>
        <v>20000000</v>
      </c>
      <c r="P19" s="22">
        <v>0</v>
      </c>
      <c r="Q19" s="22">
        <v>0</v>
      </c>
      <c r="R19" s="22">
        <v>5000000</v>
      </c>
      <c r="S19" s="22"/>
      <c r="T19" s="22"/>
      <c r="U19" s="22"/>
      <c r="V19" s="22">
        <f t="shared" si="12"/>
        <v>5000000</v>
      </c>
      <c r="W19" s="25">
        <f t="shared" si="10"/>
        <v>15000000</v>
      </c>
      <c r="X19" s="8"/>
      <c r="Y19" s="8"/>
      <c r="Z19" s="8">
        <v>4669.1000000000004</v>
      </c>
      <c r="AA19" s="8">
        <v>10780348.58</v>
      </c>
      <c r="AB19" s="8">
        <v>3123414.75</v>
      </c>
      <c r="AC19" s="8">
        <v>0</v>
      </c>
      <c r="AD19" s="8"/>
      <c r="AE19" s="22">
        <f t="shared" si="13"/>
        <v>13908432.43</v>
      </c>
      <c r="AF19" s="25">
        <f t="shared" si="5"/>
        <v>1091567.5700000003</v>
      </c>
      <c r="AG19" s="47">
        <f t="shared" si="6"/>
        <v>0.92722882866666667</v>
      </c>
      <c r="AH19" s="88" t="str">
        <f>DPBH!AH7</f>
        <v>N/A</v>
      </c>
      <c r="AI19" s="88">
        <f>DPBH!AI7</f>
        <v>261236.73</v>
      </c>
      <c r="AJ19" s="88">
        <f>DPBH!AJ7</f>
        <v>166066.17000000001</v>
      </c>
      <c r="AK19" s="88">
        <f>DPBH!AK7</f>
        <v>166066.17000000001</v>
      </c>
      <c r="AL19" s="88">
        <f>DPBH!AL7</f>
        <v>166066.17000000001</v>
      </c>
      <c r="AM19" s="88">
        <f>DPBH!AM7</f>
        <v>166066.17000000001</v>
      </c>
      <c r="AN19" s="88">
        <f>DPBH!AN7</f>
        <v>166066.16</v>
      </c>
      <c r="AO19" s="88" t="str">
        <f>DPBH!AO7</f>
        <v> </v>
      </c>
      <c r="AP19" s="88" t="str">
        <f>DPBH!AP7</f>
        <v> </v>
      </c>
      <c r="AQ19" s="88" t="str">
        <f>DPBH!AQ7</f>
        <v> </v>
      </c>
      <c r="AR19" s="88" t="str">
        <f>DPBH!AR7</f>
        <v> </v>
      </c>
      <c r="AS19" s="88" t="str">
        <f>DPBH!AS7</f>
        <v> </v>
      </c>
      <c r="AT19" s="88" t="str">
        <f>DPBH!AT7</f>
        <v> </v>
      </c>
      <c r="AU19" s="88">
        <f>DPBH!AU7</f>
        <v>0</v>
      </c>
      <c r="AV19" s="87">
        <f t="shared" si="7"/>
        <v>1091567.57</v>
      </c>
      <c r="AW19" s="87">
        <f t="shared" si="8"/>
        <v>0</v>
      </c>
      <c r="AX19" s="82" t="str">
        <f>DPBH!AX7</f>
        <v>On Track</v>
      </c>
      <c r="AY19" s="95" t="str">
        <f>DPBH!AY7</f>
        <v xml:space="preserve">The remaining projected balance is pending the Renown subaward for an advance, the enitre remaining balance will be expended by June 30, 2026. </v>
      </c>
    </row>
    <row r="20" spans="1:51" ht="32.1" customHeight="1" x14ac:dyDescent="0.25">
      <c r="A20" s="62" t="s">
        <v>77</v>
      </c>
      <c r="B20" s="62" t="s">
        <v>78</v>
      </c>
      <c r="C20" s="71" t="s">
        <v>89</v>
      </c>
      <c r="D20" s="63" t="s">
        <v>90</v>
      </c>
      <c r="E20" s="10" t="s">
        <v>46</v>
      </c>
      <c r="F20" s="66" t="s">
        <v>91</v>
      </c>
      <c r="G20" s="12">
        <v>44743</v>
      </c>
      <c r="H20" s="12">
        <v>46203</v>
      </c>
      <c r="I20" s="42">
        <v>3165</v>
      </c>
      <c r="J20" s="30">
        <v>64</v>
      </c>
      <c r="K20" s="13">
        <v>29</v>
      </c>
      <c r="L20" s="15">
        <v>10000000</v>
      </c>
      <c r="M20" s="14"/>
      <c r="N20" s="14"/>
      <c r="O20" s="14">
        <f t="shared" si="11"/>
        <v>10000000</v>
      </c>
      <c r="P20" s="14">
        <v>0</v>
      </c>
      <c r="Q20" s="14">
        <v>5000000</v>
      </c>
      <c r="R20" s="14">
        <v>1900000</v>
      </c>
      <c r="S20" s="14"/>
      <c r="T20" s="14"/>
      <c r="U20" s="14"/>
      <c r="V20" s="14">
        <f t="shared" si="12"/>
        <v>6900000</v>
      </c>
      <c r="W20" s="15">
        <f t="shared" si="10"/>
        <v>3100000</v>
      </c>
      <c r="X20" s="8"/>
      <c r="Y20" s="8"/>
      <c r="Z20" s="8">
        <v>57796.219999999994</v>
      </c>
      <c r="AA20" s="8">
        <v>2079879</v>
      </c>
      <c r="AB20" s="8">
        <v>698605.60000000009</v>
      </c>
      <c r="AC20" s="8">
        <v>85196.489999999991</v>
      </c>
      <c r="AD20" s="8"/>
      <c r="AE20" s="14">
        <f t="shared" si="13"/>
        <v>2921477.3100000005</v>
      </c>
      <c r="AF20" s="15">
        <f t="shared" si="5"/>
        <v>178522.68999999948</v>
      </c>
      <c r="AG20" s="46">
        <f t="shared" si="6"/>
        <v>0.94241203548387109</v>
      </c>
      <c r="AH20" s="88" t="str">
        <f>DPBH!AH8</f>
        <v>N/A</v>
      </c>
      <c r="AI20" s="88">
        <f>DPBH!AI8</f>
        <v>41804.85</v>
      </c>
      <c r="AJ20" s="88">
        <f>DPBH!AJ8</f>
        <v>27343.57</v>
      </c>
      <c r="AK20" s="88">
        <f>DPBH!AK8</f>
        <v>27343.57</v>
      </c>
      <c r="AL20" s="88">
        <f>DPBH!AL8</f>
        <v>27343.57</v>
      </c>
      <c r="AM20" s="88">
        <f>DPBH!AM8</f>
        <v>27343.57</v>
      </c>
      <c r="AN20" s="88">
        <f>DPBH!AN8</f>
        <v>27343.56</v>
      </c>
      <c r="AO20" s="88" t="str">
        <f>DPBH!AO8</f>
        <v> </v>
      </c>
      <c r="AP20" s="88" t="str">
        <f>DPBH!AP8</f>
        <v> </v>
      </c>
      <c r="AQ20" s="88" t="str">
        <f>DPBH!AQ8</f>
        <v> </v>
      </c>
      <c r="AR20" s="88" t="str">
        <f>DPBH!AR8</f>
        <v> </v>
      </c>
      <c r="AS20" s="88" t="str">
        <f>DPBH!AS8</f>
        <v> </v>
      </c>
      <c r="AT20" s="88" t="str">
        <f>DPBH!AT8</f>
        <v> </v>
      </c>
      <c r="AU20" s="88">
        <f>DPBH!AU8</f>
        <v>0</v>
      </c>
      <c r="AV20" s="87">
        <f t="shared" si="7"/>
        <v>178522.69</v>
      </c>
      <c r="AW20" s="87">
        <f t="shared" si="8"/>
        <v>5.2386894822120667E-10</v>
      </c>
      <c r="AX20" s="82" t="str">
        <f>DPBH!AX8</f>
        <v>On Track</v>
      </c>
      <c r="AY20" s="95" t="str">
        <f>DPBH!AY8</f>
        <v xml:space="preserve">There is remaining balance of $164,061.41, program has begun process for new contract for community partner Seven Hills to utilize increase threshold cap. Received extension request approval, providing until 6/30/2026 to expend remaining amount giving a monthly projection of 41,804.85 x1 month &amp; $27,343.57 x 5 months. </v>
      </c>
    </row>
    <row r="21" spans="1:51" ht="47.1" customHeight="1" x14ac:dyDescent="0.25">
      <c r="A21" s="62" t="s">
        <v>77</v>
      </c>
      <c r="B21" s="62" t="s">
        <v>78</v>
      </c>
      <c r="C21" s="72" t="s">
        <v>92</v>
      </c>
      <c r="D21" s="63" t="s">
        <v>80</v>
      </c>
      <c r="E21" s="10" t="s">
        <v>46</v>
      </c>
      <c r="F21" s="66" t="s">
        <v>93</v>
      </c>
      <c r="G21" s="12">
        <v>44854</v>
      </c>
      <c r="H21" s="12">
        <v>46203</v>
      </c>
      <c r="I21" s="42">
        <v>3219</v>
      </c>
      <c r="J21" s="30">
        <v>35</v>
      </c>
      <c r="K21" s="13">
        <v>33</v>
      </c>
      <c r="L21" s="15">
        <v>1500000</v>
      </c>
      <c r="M21" s="14"/>
      <c r="N21" s="14"/>
      <c r="O21" s="14">
        <f t="shared" si="11"/>
        <v>1500000</v>
      </c>
      <c r="P21" s="14"/>
      <c r="Q21" s="14"/>
      <c r="R21" s="14"/>
      <c r="S21" s="14"/>
      <c r="T21" s="14"/>
      <c r="U21" s="14"/>
      <c r="V21" s="14">
        <f t="shared" si="12"/>
        <v>0</v>
      </c>
      <c r="W21" s="15">
        <f t="shared" si="10"/>
        <v>1500000</v>
      </c>
      <c r="X21" s="8"/>
      <c r="Y21" s="8"/>
      <c r="Z21" s="8"/>
      <c r="AA21" s="8">
        <v>131435.79</v>
      </c>
      <c r="AB21" s="8">
        <v>837289.48</v>
      </c>
      <c r="AC21" s="8">
        <v>336314.44</v>
      </c>
      <c r="AD21" s="8"/>
      <c r="AE21" s="14">
        <f t="shared" si="13"/>
        <v>1305039.71</v>
      </c>
      <c r="AF21" s="15">
        <f t="shared" si="5"/>
        <v>194960.29000000004</v>
      </c>
      <c r="AG21" s="46">
        <f t="shared" si="6"/>
        <v>0.87002647333333327</v>
      </c>
      <c r="AH21" s="88" t="str">
        <f>DPBH!AH9</f>
        <v>N/A</v>
      </c>
      <c r="AI21" s="88">
        <f>DPBH!AI9</f>
        <v>32493.38</v>
      </c>
      <c r="AJ21" s="88">
        <f>DPBH!AJ9</f>
        <v>32493.38</v>
      </c>
      <c r="AK21" s="88">
        <f>DPBH!AK9</f>
        <v>32493.38</v>
      </c>
      <c r="AL21" s="88">
        <f>DPBH!AL9</f>
        <v>32493.38</v>
      </c>
      <c r="AM21" s="88">
        <f>DPBH!AM9</f>
        <v>32493.38</v>
      </c>
      <c r="AN21" s="88">
        <f>DPBH!AN9</f>
        <v>32493.39</v>
      </c>
      <c r="AO21" s="88" t="str">
        <f>DPBH!AO9</f>
        <v> </v>
      </c>
      <c r="AP21" s="88" t="str">
        <f>DPBH!AP9</f>
        <v> </v>
      </c>
      <c r="AQ21" s="88" t="str">
        <f>DPBH!AQ9</f>
        <v> </v>
      </c>
      <c r="AR21" s="88" t="str">
        <f>DPBH!AR9</f>
        <v> </v>
      </c>
      <c r="AS21" s="88" t="str">
        <f>DPBH!AS9</f>
        <v> </v>
      </c>
      <c r="AT21" s="88" t="str">
        <f>DPBH!AT9</f>
        <v> </v>
      </c>
      <c r="AU21" s="88">
        <f>DPBH!AU9</f>
        <v>0</v>
      </c>
      <c r="AV21" s="87">
        <f t="shared" si="7"/>
        <v>194960.28999999998</v>
      </c>
      <c r="AW21" s="87">
        <f t="shared" si="8"/>
        <v>0</v>
      </c>
      <c r="AX21" s="82" t="str">
        <f>DPBH!AX9</f>
        <v>On Track</v>
      </c>
      <c r="AY21" s="95" t="str">
        <f>DPBH!AY9</f>
        <v>Project on track to fully spend down by end of performance period. Spend plan calculated on equal amounts for remaining months of project.</v>
      </c>
    </row>
    <row r="22" spans="1:51" ht="41.1" customHeight="1" x14ac:dyDescent="0.25">
      <c r="A22" s="62" t="s">
        <v>77</v>
      </c>
      <c r="B22" s="62" t="s">
        <v>94</v>
      </c>
      <c r="C22" s="72" t="s">
        <v>95</v>
      </c>
      <c r="D22" s="63" t="s">
        <v>80</v>
      </c>
      <c r="E22" s="10" t="s">
        <v>46</v>
      </c>
      <c r="F22" s="66" t="s">
        <v>96</v>
      </c>
      <c r="G22" s="12">
        <v>45091</v>
      </c>
      <c r="H22" s="12">
        <v>46387</v>
      </c>
      <c r="I22" s="30">
        <v>3234</v>
      </c>
      <c r="J22" s="30">
        <v>22</v>
      </c>
      <c r="K22" s="13">
        <v>33</v>
      </c>
      <c r="L22" s="15">
        <v>5494300</v>
      </c>
      <c r="M22" s="19"/>
      <c r="N22" s="14"/>
      <c r="O22" s="14">
        <f t="shared" si="11"/>
        <v>5494300</v>
      </c>
      <c r="P22" s="14"/>
      <c r="Q22" s="9"/>
      <c r="R22" s="14"/>
      <c r="S22" s="14"/>
      <c r="T22" s="14"/>
      <c r="U22" s="14"/>
      <c r="V22" s="19">
        <f t="shared" si="12"/>
        <v>0</v>
      </c>
      <c r="W22" s="15">
        <f t="shared" si="10"/>
        <v>5494300</v>
      </c>
      <c r="X22" s="8"/>
      <c r="Y22" s="8"/>
      <c r="Z22" s="8"/>
      <c r="AA22" s="8">
        <v>201861.5</v>
      </c>
      <c r="AB22" s="8">
        <v>1819585.17</v>
      </c>
      <c r="AC22" s="8">
        <v>1263736.0999999999</v>
      </c>
      <c r="AD22" s="8"/>
      <c r="AE22" s="14">
        <f t="shared" si="13"/>
        <v>3285182.7699999996</v>
      </c>
      <c r="AF22" s="15">
        <f t="shared" si="5"/>
        <v>2209117.2300000004</v>
      </c>
      <c r="AG22" s="46">
        <f t="shared" si="6"/>
        <v>0.59792562655843318</v>
      </c>
      <c r="AH22" s="88" t="str">
        <f>DPBH!AH10</f>
        <v>N/A</v>
      </c>
      <c r="AI22" s="88">
        <f>DPBH!AI10</f>
        <v>192705.42</v>
      </c>
      <c r="AJ22" s="88">
        <f>DPBH!AJ10</f>
        <v>165593</v>
      </c>
      <c r="AK22" s="88">
        <f>DPBH!AK10</f>
        <v>190500.85</v>
      </c>
      <c r="AL22" s="88">
        <f>DPBH!AL10</f>
        <v>174715.51999999999</v>
      </c>
      <c r="AM22" s="88">
        <f>DPBH!AM10</f>
        <v>230426.88</v>
      </c>
      <c r="AN22" s="88">
        <f>DPBH!AN10</f>
        <v>250429.84</v>
      </c>
      <c r="AO22" s="88">
        <f>DPBH!AO10</f>
        <v>135519.78</v>
      </c>
      <c r="AP22" s="88">
        <f>DPBH!AP10</f>
        <v>141958.73000000001</v>
      </c>
      <c r="AQ22" s="88">
        <f>DPBH!AQ10</f>
        <v>223703.08</v>
      </c>
      <c r="AR22" s="88">
        <f>DPBH!AR10</f>
        <v>371762.27</v>
      </c>
      <c r="AS22" s="88">
        <f>DPBH!AS10</f>
        <v>131801.85999999999</v>
      </c>
      <c r="AT22" s="88" t="str">
        <f>DPBH!AT10</f>
        <v> </v>
      </c>
      <c r="AU22" s="88">
        <f>DPBH!AU10</f>
        <v>0</v>
      </c>
      <c r="AV22" s="87">
        <f t="shared" si="7"/>
        <v>2209117.23</v>
      </c>
      <c r="AW22" s="87">
        <f t="shared" si="8"/>
        <v>0</v>
      </c>
      <c r="AX22" s="82" t="str">
        <f>DPBH!AX10</f>
        <v>On Track</v>
      </c>
      <c r="AY22" s="95" t="str">
        <f>DPBH!AY10</f>
        <v>Healthy Communities Coalition 22 scholarship recipients. 20 CHW I, 2 CHW II certifications. UNR Larson Institute 20 scholarship recipients CHW, 15 English Doula, 17 Spanish Doula scholarship recipients, 20 scholarship applicants accepted training scholarships. UNR Integration 24 fellowships. Nevada Primary Care Association 11 Scholarships, 13 PCP's. High Sierra AHEC 15 scholarships for fall semester. UNR CASAT Supervision: 1 new licensed PRSS-S; 4 new licensed ADG Supervisors. UNLV BeHere 23 scholarship recipients. UNR Resilience 9 total enrollments. 2 - Public Health Certificates. 7- Full time online MPH program.
All recipients indicate they will be able to offer the remaining scholarships and fully expend the remaining funds. Projections based on historical data and needed dispursement for remaining project period.</v>
      </c>
    </row>
    <row r="23" spans="1:51" ht="41.1" customHeight="1" x14ac:dyDescent="0.25">
      <c r="A23" s="62" t="s">
        <v>77</v>
      </c>
      <c r="B23" s="62" t="s">
        <v>78</v>
      </c>
      <c r="C23" s="71" t="s">
        <v>97</v>
      </c>
      <c r="D23" s="63" t="s">
        <v>80</v>
      </c>
      <c r="E23" s="10" t="s">
        <v>46</v>
      </c>
      <c r="F23" s="66" t="s">
        <v>98</v>
      </c>
      <c r="G23" s="12">
        <v>45092</v>
      </c>
      <c r="H23" s="12">
        <v>46387</v>
      </c>
      <c r="I23" s="30">
        <v>3234</v>
      </c>
      <c r="J23" s="30">
        <v>21</v>
      </c>
      <c r="K23" s="13">
        <v>23</v>
      </c>
      <c r="L23" s="15">
        <v>666000</v>
      </c>
      <c r="M23" s="14"/>
      <c r="N23" s="14">
        <v>0</v>
      </c>
      <c r="O23" s="14">
        <f t="shared" si="11"/>
        <v>666000</v>
      </c>
      <c r="P23" s="14"/>
      <c r="Q23" s="14"/>
      <c r="R23" s="14"/>
      <c r="S23" s="14"/>
      <c r="T23" s="14"/>
      <c r="U23" s="14"/>
      <c r="V23" s="14">
        <f t="shared" si="12"/>
        <v>0</v>
      </c>
      <c r="W23" s="15">
        <f t="shared" si="10"/>
        <v>666000</v>
      </c>
      <c r="X23" s="8"/>
      <c r="Y23" s="8"/>
      <c r="Z23" s="8"/>
      <c r="AA23" s="6">
        <v>4997.96</v>
      </c>
      <c r="AB23" s="6">
        <v>157287.89000000001</v>
      </c>
      <c r="AC23" s="6">
        <v>89372.94</v>
      </c>
      <c r="AD23" s="8"/>
      <c r="AE23" s="14">
        <f t="shared" si="13"/>
        <v>251658.79</v>
      </c>
      <c r="AF23" s="15">
        <f t="shared" si="5"/>
        <v>414341.20999999996</v>
      </c>
      <c r="AG23" s="46">
        <f t="shared" si="6"/>
        <v>0.37786605105105109</v>
      </c>
      <c r="AH23" s="88" t="str">
        <f>DPBH!AH11</f>
        <v>N/A</v>
      </c>
      <c r="AI23" s="88">
        <f>DPBH!AI11</f>
        <v>116387.14</v>
      </c>
      <c r="AJ23" s="88">
        <f>DPBH!AJ11</f>
        <v>34579.79</v>
      </c>
      <c r="AK23" s="88">
        <f>DPBH!AK11</f>
        <v>29780.44</v>
      </c>
      <c r="AL23" s="88">
        <f>DPBH!AL11</f>
        <v>29780.44</v>
      </c>
      <c r="AM23" s="88">
        <f>DPBH!AM11</f>
        <v>29780.44</v>
      </c>
      <c r="AN23" s="88">
        <f>DPBH!AN11</f>
        <v>29780.44</v>
      </c>
      <c r="AO23" s="88">
        <f>DPBH!AO11</f>
        <v>29780.44</v>
      </c>
      <c r="AP23" s="88">
        <f>DPBH!AP11</f>
        <v>29780.44</v>
      </c>
      <c r="AQ23" s="88">
        <f>DPBH!AQ11</f>
        <v>29780.44</v>
      </c>
      <c r="AR23" s="88">
        <f>DPBH!AR11</f>
        <v>29780.44</v>
      </c>
      <c r="AS23" s="88">
        <f>DPBH!AS11</f>
        <v>25130.76</v>
      </c>
      <c r="AT23" s="88" t="str">
        <f>DPBH!AT11</f>
        <v> </v>
      </c>
      <c r="AU23" s="88">
        <f>DPBH!AU11</f>
        <v>0</v>
      </c>
      <c r="AV23" s="87">
        <f t="shared" si="7"/>
        <v>414341.21</v>
      </c>
      <c r="AW23" s="87">
        <f t="shared" si="8"/>
        <v>0</v>
      </c>
      <c r="AX23" s="82" t="str">
        <f>DPBH!AX11</f>
        <v>On Track</v>
      </c>
      <c r="AY23" s="95" t="str">
        <f>DPBH!AY11</f>
        <v xml:space="preserve"> Out of 52 scholarship recipients, thirteen people completed their entire certification courses. Three people are completed with the course and awaiting to take their exams. 18 scholarships were distributed from May 1, 2025, to September 1, 2025.  Remaining funds expected to be fully expended with minor fluctuations in monthly totals.</v>
      </c>
    </row>
    <row r="24" spans="1:51" ht="38.85" customHeight="1" x14ac:dyDescent="0.25">
      <c r="A24" s="62" t="s">
        <v>77</v>
      </c>
      <c r="B24" s="62" t="s">
        <v>78</v>
      </c>
      <c r="C24" s="72" t="s">
        <v>99</v>
      </c>
      <c r="D24" s="63" t="s">
        <v>80</v>
      </c>
      <c r="E24" s="10" t="s">
        <v>46</v>
      </c>
      <c r="F24" s="66" t="s">
        <v>100</v>
      </c>
      <c r="G24" s="12">
        <v>44791</v>
      </c>
      <c r="H24" s="12">
        <v>46142</v>
      </c>
      <c r="I24" s="30">
        <v>3645</v>
      </c>
      <c r="J24" s="30">
        <v>61</v>
      </c>
      <c r="K24" s="13">
        <v>24</v>
      </c>
      <c r="L24" s="15">
        <v>1462644</v>
      </c>
      <c r="M24" s="19"/>
      <c r="N24" s="14"/>
      <c r="O24" s="14">
        <f t="shared" si="11"/>
        <v>1462644</v>
      </c>
      <c r="P24" s="14"/>
      <c r="Q24" s="14"/>
      <c r="R24" s="14"/>
      <c r="S24" s="14"/>
      <c r="T24" s="16"/>
      <c r="U24" s="14"/>
      <c r="V24" s="19">
        <f t="shared" si="12"/>
        <v>0</v>
      </c>
      <c r="W24" s="15">
        <f t="shared" si="10"/>
        <v>1462644</v>
      </c>
      <c r="X24" s="8"/>
      <c r="Y24" s="8"/>
      <c r="Z24" s="8">
        <v>24377.24</v>
      </c>
      <c r="AA24" s="8">
        <v>103040.12999999999</v>
      </c>
      <c r="AB24" s="8">
        <v>888600.13</v>
      </c>
      <c r="AC24" s="8">
        <v>0</v>
      </c>
      <c r="AD24" s="8"/>
      <c r="AE24" s="14">
        <f t="shared" si="13"/>
        <v>1016017.5</v>
      </c>
      <c r="AF24" s="81">
        <f t="shared" si="5"/>
        <v>446626.5</v>
      </c>
      <c r="AG24" s="46">
        <f t="shared" si="6"/>
        <v>0.69464442475407551</v>
      </c>
      <c r="AH24" s="88" t="str">
        <f>DPBH!AH12</f>
        <v>N/A</v>
      </c>
      <c r="AI24" s="88">
        <f>DPBH!AI12</f>
        <v>39572.25</v>
      </c>
      <c r="AJ24" s="88">
        <f>DPBH!AJ12</f>
        <v>39572.25</v>
      </c>
      <c r="AK24" s="88">
        <f>DPBH!AK12</f>
        <v>39572.25</v>
      </c>
      <c r="AL24" s="88">
        <f>DPBH!AL12</f>
        <v>39572.25</v>
      </c>
      <c r="AM24" s="88" t="str">
        <f>DPBH!AM12</f>
        <v> </v>
      </c>
      <c r="AN24" s="88" t="str">
        <f>DPBH!AN12</f>
        <v> </v>
      </c>
      <c r="AO24" s="88" t="str">
        <f>DPBH!AO12</f>
        <v> </v>
      </c>
      <c r="AP24" s="88" t="str">
        <f>DPBH!AP12</f>
        <v> </v>
      </c>
      <c r="AQ24" s="88" t="str">
        <f>DPBH!AQ12</f>
        <v> </v>
      </c>
      <c r="AR24" s="88" t="str">
        <f>DPBH!AR12</f>
        <v> </v>
      </c>
      <c r="AS24" s="88" t="str">
        <f>DPBH!AS12</f>
        <v> </v>
      </c>
      <c r="AT24" s="88" t="str">
        <f>DPBH!AT12</f>
        <v> </v>
      </c>
      <c r="AU24" s="88">
        <f>DPBH!AU12</f>
        <v>0</v>
      </c>
      <c r="AV24" s="87">
        <f t="shared" si="7"/>
        <v>158289</v>
      </c>
      <c r="AW24" s="87">
        <f t="shared" si="8"/>
        <v>-288337.5</v>
      </c>
      <c r="AX24" s="82" t="str">
        <f>DPBH!AX12</f>
        <v>On Track</v>
      </c>
      <c r="AY24" s="95" t="str">
        <f>DPBH!AY12</f>
        <v xml:space="preserve">Project performance period extended for continued work and support of completing project tasks. An upgrade to the flooring in the area this project took place is going to occur. Contract with flooring vendor in process.  Re-allocation of $288,337.50 to 24JBMHP01 through de-obligation in process.  Once the deobligation is approved, the projections for 24JBMHP01 will be updated. </v>
      </c>
    </row>
    <row r="25" spans="1:51" ht="53.85" customHeight="1" x14ac:dyDescent="0.25">
      <c r="A25" s="62" t="s">
        <v>77</v>
      </c>
      <c r="B25" s="62" t="s">
        <v>78</v>
      </c>
      <c r="C25" s="71" t="s">
        <v>101</v>
      </c>
      <c r="D25" s="63" t="s">
        <v>80</v>
      </c>
      <c r="E25" s="10" t="s">
        <v>46</v>
      </c>
      <c r="F25" s="66" t="s">
        <v>102</v>
      </c>
      <c r="G25" s="12">
        <v>44790</v>
      </c>
      <c r="H25" s="12">
        <v>46387</v>
      </c>
      <c r="I25" s="42">
        <v>3234</v>
      </c>
      <c r="J25" s="30">
        <v>23</v>
      </c>
      <c r="K25" s="13">
        <v>33</v>
      </c>
      <c r="L25" s="15">
        <f>10000000+3700000+1600000+5500000</f>
        <v>20800000</v>
      </c>
      <c r="M25" s="14"/>
      <c r="N25" s="14"/>
      <c r="O25" s="14">
        <f t="shared" si="11"/>
        <v>20800000</v>
      </c>
      <c r="P25" s="14"/>
      <c r="Q25" s="14"/>
      <c r="R25" s="14"/>
      <c r="S25" s="14"/>
      <c r="T25" s="14"/>
      <c r="U25" s="14"/>
      <c r="V25" s="14">
        <f t="shared" si="12"/>
        <v>0</v>
      </c>
      <c r="W25" s="15">
        <f t="shared" si="10"/>
        <v>20800000</v>
      </c>
      <c r="X25" s="8"/>
      <c r="Y25" s="8"/>
      <c r="Z25" s="8">
        <v>4661930.9400000004</v>
      </c>
      <c r="AA25" s="8">
        <v>2517080.94</v>
      </c>
      <c r="AB25" s="8">
        <v>3263651.78</v>
      </c>
      <c r="AC25" s="8">
        <v>672769.96</v>
      </c>
      <c r="AD25" s="8">
        <v>0</v>
      </c>
      <c r="AE25" s="14">
        <f t="shared" si="13"/>
        <v>11115433.620000001</v>
      </c>
      <c r="AF25" s="15">
        <f t="shared" si="5"/>
        <v>9684566.379999999</v>
      </c>
      <c r="AG25" s="48">
        <f t="shared" si="6"/>
        <v>0.53439584711538468</v>
      </c>
      <c r="AH25" s="88" t="str">
        <f>DPBH!AH13</f>
        <v>N/A</v>
      </c>
      <c r="AI25" s="88">
        <f>DPBH!AI13</f>
        <v>700543.2</v>
      </c>
      <c r="AJ25" s="88">
        <f>DPBH!AJ13</f>
        <v>997517.03</v>
      </c>
      <c r="AK25" s="88">
        <f>DPBH!AK13</f>
        <v>905417.48</v>
      </c>
      <c r="AL25" s="88">
        <f>DPBH!AL13</f>
        <v>916697.79</v>
      </c>
      <c r="AM25" s="88">
        <f>DPBH!AM13</f>
        <v>744609.59</v>
      </c>
      <c r="AN25" s="88">
        <f>DPBH!AN13</f>
        <v>659995.51</v>
      </c>
      <c r="AO25" s="88">
        <f>DPBH!AO13</f>
        <v>709762.79</v>
      </c>
      <c r="AP25" s="88">
        <f>DPBH!AP13</f>
        <v>2003000</v>
      </c>
      <c r="AQ25" s="88">
        <f>DPBH!AQ13</f>
        <v>674509.07</v>
      </c>
      <c r="AR25" s="88">
        <f>DPBH!AR13</f>
        <v>677842.58</v>
      </c>
      <c r="AS25" s="88">
        <f>DPBH!AS13</f>
        <v>694671.34</v>
      </c>
      <c r="AT25" s="88" t="str">
        <f>DPBH!AT13</f>
        <v> </v>
      </c>
      <c r="AU25" s="88">
        <f>DPBH!AU13</f>
        <v>0</v>
      </c>
      <c r="AV25" s="87">
        <f t="shared" si="7"/>
        <v>9684566.379999999</v>
      </c>
      <c r="AW25" s="87">
        <f t="shared" si="8"/>
        <v>0</v>
      </c>
      <c r="AX25" s="82" t="str">
        <f>DPBH!AX13</f>
        <v>On Track</v>
      </c>
      <c r="AY25" s="95" t="str">
        <f>DPBH!AY13</f>
        <v xml:space="preserve">Washoe: Building is on time and on budget. Flooring has been installed, water is scheduled to be turned on in early January, Furniture to be delivered on January 19th. The anticipated move in date is now March 1st.
Carson: On track to complete projects which support staffing of key positions within the agency.
Churchill:  In progress - released for bid November 2025. Equipment is scheduled for purchase January 2026, 25% of the Security Equipment ordered for CNHD.
</v>
      </c>
    </row>
    <row r="26" spans="1:51" ht="36.6" customHeight="1" x14ac:dyDescent="0.25">
      <c r="A26" s="62" t="s">
        <v>77</v>
      </c>
      <c r="B26" s="62" t="s">
        <v>78</v>
      </c>
      <c r="C26" s="72" t="s">
        <v>103</v>
      </c>
      <c r="D26" s="63" t="s">
        <v>80</v>
      </c>
      <c r="E26" s="10" t="s">
        <v>46</v>
      </c>
      <c r="F26" s="66" t="s">
        <v>104</v>
      </c>
      <c r="G26" s="12">
        <v>44854</v>
      </c>
      <c r="H26" s="12">
        <v>46326</v>
      </c>
      <c r="I26" s="30">
        <v>3222</v>
      </c>
      <c r="J26" s="30">
        <v>33</v>
      </c>
      <c r="K26" s="13">
        <v>33</v>
      </c>
      <c r="L26" s="15">
        <v>3953689</v>
      </c>
      <c r="M26" s="19"/>
      <c r="N26" s="14"/>
      <c r="O26" s="14">
        <f t="shared" si="11"/>
        <v>3953689</v>
      </c>
      <c r="P26" s="14"/>
      <c r="Q26" s="14"/>
      <c r="R26" s="14"/>
      <c r="S26" s="14"/>
      <c r="T26" s="14"/>
      <c r="U26" s="14"/>
      <c r="V26" s="19">
        <f t="shared" si="12"/>
        <v>0</v>
      </c>
      <c r="W26" s="15">
        <f t="shared" si="10"/>
        <v>3953689</v>
      </c>
      <c r="X26" s="8"/>
      <c r="Y26" s="8"/>
      <c r="Z26" s="8"/>
      <c r="AA26" s="8">
        <v>820927.41</v>
      </c>
      <c r="AB26" s="8">
        <v>1889733.67</v>
      </c>
      <c r="AC26" s="8">
        <v>568833.40999999992</v>
      </c>
      <c r="AD26" s="8"/>
      <c r="AE26" s="14">
        <f t="shared" si="13"/>
        <v>3279494.49</v>
      </c>
      <c r="AF26" s="15">
        <f t="shared" si="5"/>
        <v>674194.50999999978</v>
      </c>
      <c r="AG26" s="46">
        <f t="shared" si="6"/>
        <v>0.82947710100617433</v>
      </c>
      <c r="AH26" s="88" t="str">
        <f>DPBH!AH14</f>
        <v>N/A</v>
      </c>
      <c r="AI26" s="88">
        <f>DPBH!AI14</f>
        <v>67419.45</v>
      </c>
      <c r="AJ26" s="88">
        <f>DPBH!AJ14</f>
        <v>67419.45</v>
      </c>
      <c r="AK26" s="88">
        <f>DPBH!AK14</f>
        <v>67419.45</v>
      </c>
      <c r="AL26" s="88">
        <f>DPBH!AL14</f>
        <v>67419.45</v>
      </c>
      <c r="AM26" s="88">
        <f>DPBH!AM14</f>
        <v>67419.45</v>
      </c>
      <c r="AN26" s="88">
        <f>DPBH!AN14</f>
        <v>67419.45</v>
      </c>
      <c r="AO26" s="88">
        <f>DPBH!AO14</f>
        <v>67419.45</v>
      </c>
      <c r="AP26" s="88">
        <f>DPBH!AP14</f>
        <v>67419.45</v>
      </c>
      <c r="AQ26" s="88">
        <f>DPBH!AQ14</f>
        <v>67419.45</v>
      </c>
      <c r="AR26" s="88">
        <f>DPBH!AR14</f>
        <v>67419.460000000006</v>
      </c>
      <c r="AS26" s="88" t="str">
        <f>DPBH!AS14</f>
        <v> </v>
      </c>
      <c r="AT26" s="88" t="str">
        <f>DPBH!AT14</f>
        <v> </v>
      </c>
      <c r="AU26" s="88">
        <f>DPBH!AU14</f>
        <v>0</v>
      </c>
      <c r="AV26" s="87">
        <f t="shared" si="7"/>
        <v>674194.50999999989</v>
      </c>
      <c r="AW26" s="87">
        <f t="shared" si="8"/>
        <v>0</v>
      </c>
      <c r="AX26" s="82" t="str">
        <f>DPBH!AX14</f>
        <v>On Track</v>
      </c>
      <c r="AY26" s="95" t="str">
        <f>DPBH!AY14</f>
        <v>Spend down is on track; 3 of the 5 remaining disorders will be added to the panel after the building certificate of occupancy is granted in October 2026 as equipment can't be set up until they are in the new building. NSPHL states they will completely spend down and have a year to expend the final 18% of the award remaining.</v>
      </c>
    </row>
    <row r="27" spans="1:51" ht="44.85" customHeight="1" x14ac:dyDescent="0.25">
      <c r="A27" s="62" t="s">
        <v>77</v>
      </c>
      <c r="B27" s="62" t="s">
        <v>78</v>
      </c>
      <c r="C27" s="72" t="s">
        <v>105</v>
      </c>
      <c r="D27" s="63" t="s">
        <v>80</v>
      </c>
      <c r="E27" s="10" t="s">
        <v>46</v>
      </c>
      <c r="F27" s="67" t="s">
        <v>106</v>
      </c>
      <c r="G27" s="12">
        <v>44854</v>
      </c>
      <c r="H27" s="12">
        <v>46295</v>
      </c>
      <c r="I27" s="42">
        <v>3161</v>
      </c>
      <c r="J27" s="30">
        <v>63</v>
      </c>
      <c r="K27" s="13">
        <v>34</v>
      </c>
      <c r="L27" s="15">
        <v>10000000</v>
      </c>
      <c r="M27" s="14"/>
      <c r="N27" s="14"/>
      <c r="O27" s="14">
        <f t="shared" si="11"/>
        <v>10000000</v>
      </c>
      <c r="P27" s="14"/>
      <c r="Q27" s="14"/>
      <c r="R27" s="14"/>
      <c r="S27" s="14"/>
      <c r="T27" s="14"/>
      <c r="U27" s="14"/>
      <c r="V27" s="14">
        <f t="shared" si="12"/>
        <v>0</v>
      </c>
      <c r="W27" s="15">
        <f t="shared" si="10"/>
        <v>10000000</v>
      </c>
      <c r="X27" s="8"/>
      <c r="Y27" s="8"/>
      <c r="Z27" s="8"/>
      <c r="AA27" s="8">
        <v>0</v>
      </c>
      <c r="AB27" s="8">
        <v>1648607.93</v>
      </c>
      <c r="AC27" s="8">
        <v>3659347.56</v>
      </c>
      <c r="AD27" s="8"/>
      <c r="AE27" s="14">
        <f t="shared" si="13"/>
        <v>5307955.49</v>
      </c>
      <c r="AF27" s="15">
        <f t="shared" si="5"/>
        <v>4692044.51</v>
      </c>
      <c r="AG27" s="46">
        <f t="shared" si="6"/>
        <v>0.53079554900000003</v>
      </c>
      <c r="AH27" s="88" t="str">
        <f>DPBH!AH15</f>
        <v>N/A</v>
      </c>
      <c r="AI27" s="88">
        <f>DPBH!AI15</f>
        <v>521338.28</v>
      </c>
      <c r="AJ27" s="88">
        <f>DPBH!AJ15</f>
        <v>521338.28</v>
      </c>
      <c r="AK27" s="88">
        <f>DPBH!AK15</f>
        <v>521338.28</v>
      </c>
      <c r="AL27" s="88">
        <f>DPBH!AL15</f>
        <v>521338.28</v>
      </c>
      <c r="AM27" s="88">
        <f>DPBH!AM15</f>
        <v>521338.28</v>
      </c>
      <c r="AN27" s="88">
        <f>DPBH!AN15</f>
        <v>521338.28</v>
      </c>
      <c r="AO27" s="88">
        <f>DPBH!AO15</f>
        <v>521338.28</v>
      </c>
      <c r="AP27" s="88">
        <f>DPBH!AP15</f>
        <v>521338.28</v>
      </c>
      <c r="AQ27" s="88">
        <f>DPBH!AQ15</f>
        <v>521338.27</v>
      </c>
      <c r="AR27" s="88" t="str">
        <f>DPBH!AR15</f>
        <v> </v>
      </c>
      <c r="AS27" s="88" t="str">
        <f>DPBH!AS15</f>
        <v> </v>
      </c>
      <c r="AT27" s="88" t="str">
        <f>DPBH!AT15</f>
        <v> </v>
      </c>
      <c r="AU27" s="88">
        <f>DPBH!AU15</f>
        <v>0</v>
      </c>
      <c r="AV27" s="87">
        <f t="shared" si="7"/>
        <v>4692044.5100000016</v>
      </c>
      <c r="AW27" s="87">
        <f t="shared" si="8"/>
        <v>0</v>
      </c>
      <c r="AX27" s="82" t="str">
        <f>DPBH!AX15</f>
        <v>On Track</v>
      </c>
      <c r="AY27" s="95" t="str">
        <f>DPBH!AY15</f>
        <v>Project is ongoing and has incurred $4,692,044.51 in expenditures as of January 15th, 2026.  Expected to fully spend down by end of project period.</v>
      </c>
    </row>
    <row r="28" spans="1:51" ht="44.1" customHeight="1" x14ac:dyDescent="0.25">
      <c r="A28" s="62" t="s">
        <v>77</v>
      </c>
      <c r="B28" s="62" t="s">
        <v>78</v>
      </c>
      <c r="C28" s="72" t="s">
        <v>107</v>
      </c>
      <c r="D28" s="63" t="s">
        <v>80</v>
      </c>
      <c r="E28" s="10" t="s">
        <v>46</v>
      </c>
      <c r="F28" s="66" t="s">
        <v>108</v>
      </c>
      <c r="G28" s="12">
        <v>44927</v>
      </c>
      <c r="H28" s="12">
        <v>46387</v>
      </c>
      <c r="I28" s="42">
        <v>3224</v>
      </c>
      <c r="J28" s="30" t="s">
        <v>109</v>
      </c>
      <c r="K28" s="13">
        <v>33</v>
      </c>
      <c r="L28" s="15">
        <v>6446148</v>
      </c>
      <c r="M28" s="19"/>
      <c r="N28" s="14"/>
      <c r="O28" s="14">
        <f t="shared" si="11"/>
        <v>6446148</v>
      </c>
      <c r="P28" s="14"/>
      <c r="Q28" s="14"/>
      <c r="R28" s="14"/>
      <c r="S28" s="14"/>
      <c r="T28" s="14"/>
      <c r="U28" s="14"/>
      <c r="V28" s="19">
        <f t="shared" si="12"/>
        <v>0</v>
      </c>
      <c r="W28" s="15">
        <f t="shared" si="10"/>
        <v>6446148</v>
      </c>
      <c r="X28" s="8"/>
      <c r="Y28" s="8"/>
      <c r="Z28" s="8">
        <v>105015.49</v>
      </c>
      <c r="AA28" s="8">
        <v>1191335.8299999998</v>
      </c>
      <c r="AB28" s="8">
        <v>1489526.7499999998</v>
      </c>
      <c r="AC28" s="8">
        <v>488050.08</v>
      </c>
      <c r="AD28" s="8"/>
      <c r="AE28" s="14">
        <f t="shared" si="13"/>
        <v>3273928.1499999994</v>
      </c>
      <c r="AF28" s="15">
        <f t="shared" si="5"/>
        <v>3172219.8500000006</v>
      </c>
      <c r="AG28" s="46">
        <f t="shared" si="6"/>
        <v>0.50788907577052211</v>
      </c>
      <c r="AH28" s="88" t="str">
        <f>DPBH!AH16</f>
        <v>N/A</v>
      </c>
      <c r="AI28" s="88">
        <f>DPBH!AI16</f>
        <v>212659.31</v>
      </c>
      <c r="AJ28" s="88">
        <f>DPBH!AJ16</f>
        <v>269050.95</v>
      </c>
      <c r="AK28" s="88">
        <f>DPBH!AK16</f>
        <v>269050.95</v>
      </c>
      <c r="AL28" s="88">
        <f>DPBH!AL16</f>
        <v>269050.95</v>
      </c>
      <c r="AM28" s="88">
        <f>DPBH!AM16</f>
        <v>269050.95</v>
      </c>
      <c r="AN28" s="88">
        <f>DPBH!AN16</f>
        <v>269050.95</v>
      </c>
      <c r="AO28" s="88">
        <f>DPBH!AO16</f>
        <v>269050.95</v>
      </c>
      <c r="AP28" s="88">
        <f>DPBH!AP16</f>
        <v>269050.96999999997</v>
      </c>
      <c r="AQ28" s="88">
        <f>DPBH!AQ16</f>
        <v>269050.96999999997</v>
      </c>
      <c r="AR28" s="88">
        <f>DPBH!AR16</f>
        <v>269050.96999999997</v>
      </c>
      <c r="AS28" s="88">
        <f>DPBH!AS16</f>
        <v>269050.96999999997</v>
      </c>
      <c r="AT28" s="88">
        <f>DPBH!AT16</f>
        <v>269050.96000000002</v>
      </c>
      <c r="AU28" s="88">
        <f>DPBH!AU16</f>
        <v>0</v>
      </c>
      <c r="AV28" s="87">
        <f t="shared" si="7"/>
        <v>3172219.8499999996</v>
      </c>
      <c r="AW28" s="87">
        <f t="shared" si="8"/>
        <v>0</v>
      </c>
      <c r="AX28" s="82" t="str">
        <f>DPBH!AX16</f>
        <v>On Track</v>
      </c>
      <c r="AY28" s="95" t="str">
        <f>DPBH!AY16</f>
        <v>ARPA funding supports subgrants to three other reproductive health service programs, Carson City Health and Human Services (CCHHS), Central Nevada Health District (CNHD), and Northern Nevada Public Health (NNPH). All three subgrantees have submitted spend plans for the entirety of the project period; spend plans submitted are based by SFY, hence the projections have been broken out monthly based on subrecipients projections. Spend plans ascertain they will fully expend their award amounts by the end of the project period, December 31, 2026. Additionally, ARPA is being highly depended on during these unknowing moments for CHN and the sub awardees as it still remains unclear as to whether Title X will continue to fully fund programs, although Title X has released the second NOGAs for this project year (from April 1, 2025 – March 31, 2026).</v>
      </c>
    </row>
    <row r="29" spans="1:51" ht="35.1" customHeight="1" x14ac:dyDescent="0.25">
      <c r="A29" s="62" t="s">
        <v>77</v>
      </c>
      <c r="B29" s="62" t="s">
        <v>78</v>
      </c>
      <c r="C29" s="72" t="s">
        <v>110</v>
      </c>
      <c r="D29" s="63" t="s">
        <v>80</v>
      </c>
      <c r="E29" s="10" t="s">
        <v>46</v>
      </c>
      <c r="F29" s="66" t="s">
        <v>111</v>
      </c>
      <c r="G29" s="12">
        <v>45273</v>
      </c>
      <c r="H29" s="12">
        <v>46387</v>
      </c>
      <c r="I29" s="30">
        <v>3645</v>
      </c>
      <c r="J29" s="30">
        <v>62</v>
      </c>
      <c r="K29" s="13">
        <v>33</v>
      </c>
      <c r="L29" s="15">
        <v>4920000</v>
      </c>
      <c r="M29" s="14"/>
      <c r="N29" s="14"/>
      <c r="O29" s="14">
        <f t="shared" si="11"/>
        <v>4920000</v>
      </c>
      <c r="P29" s="14">
        <v>660000</v>
      </c>
      <c r="Q29" s="14"/>
      <c r="R29" s="14">
        <f>744094</f>
        <v>744094</v>
      </c>
      <c r="S29" s="14"/>
      <c r="T29" s="14"/>
      <c r="U29" s="14"/>
      <c r="V29" s="14">
        <f t="shared" si="12"/>
        <v>1404094</v>
      </c>
      <c r="W29" s="15">
        <f t="shared" si="10"/>
        <v>3515906</v>
      </c>
      <c r="X29" s="8"/>
      <c r="Y29" s="8"/>
      <c r="Z29" s="8"/>
      <c r="AA29" s="8">
        <v>127478.69</v>
      </c>
      <c r="AB29" s="8">
        <v>1251293.04</v>
      </c>
      <c r="AC29" s="8">
        <v>599258.71</v>
      </c>
      <c r="AD29" s="8"/>
      <c r="AE29" s="14">
        <f t="shared" si="13"/>
        <v>1978030.44</v>
      </c>
      <c r="AF29" s="15">
        <f t="shared" si="5"/>
        <v>1537875.56</v>
      </c>
      <c r="AG29" s="46">
        <f t="shared" si="6"/>
        <v>0.56259480202257961</v>
      </c>
      <c r="AH29" s="88" t="str">
        <f>DPBH!AH17</f>
        <v>N/A</v>
      </c>
      <c r="AI29" s="88">
        <f>DPBH!AI17</f>
        <v>128858.9</v>
      </c>
      <c r="AJ29" s="88">
        <f>DPBH!AJ17</f>
        <v>128092.42</v>
      </c>
      <c r="AK29" s="88">
        <f>DPBH!AK17</f>
        <v>128092.42</v>
      </c>
      <c r="AL29" s="88">
        <f>DPBH!AL17</f>
        <v>128092.42</v>
      </c>
      <c r="AM29" s="88">
        <f>DPBH!AM17</f>
        <v>128092.42</v>
      </c>
      <c r="AN29" s="88">
        <f>DPBH!AN17</f>
        <v>128092.42</v>
      </c>
      <c r="AO29" s="88">
        <f>DPBH!AO17</f>
        <v>128092.42</v>
      </c>
      <c r="AP29" s="88">
        <f>DPBH!AP17</f>
        <v>128092.42</v>
      </c>
      <c r="AQ29" s="88">
        <f>DPBH!AQ17</f>
        <v>128092.42</v>
      </c>
      <c r="AR29" s="88">
        <f>DPBH!AR17</f>
        <v>128092.42</v>
      </c>
      <c r="AS29" s="88">
        <f>DPBH!AS17</f>
        <v>128092.42</v>
      </c>
      <c r="AT29" s="88">
        <f>DPBH!AT17</f>
        <v>128092.46</v>
      </c>
      <c r="AU29" s="88">
        <f>DPBH!AU17</f>
        <v>0</v>
      </c>
      <c r="AV29" s="87">
        <f t="shared" si="7"/>
        <v>1537875.5599999998</v>
      </c>
      <c r="AW29" s="87">
        <f t="shared" si="8"/>
        <v>0</v>
      </c>
      <c r="AX29" s="82" t="str">
        <f>DPBH!AX17</f>
        <v>On Track</v>
      </c>
      <c r="AY29" s="95" t="str">
        <f>DPBH!AY17</f>
        <v>Contracted clinical staff continue to serve the program in way of evaluations and competency based services. The projections are based on the same number of contractors working the same number of hours each week. Program leadership and fiscal management work closely together to ensure allocation is utilized entirely within the performance period.</v>
      </c>
    </row>
    <row r="30" spans="1:51" ht="45" customHeight="1" x14ac:dyDescent="0.25">
      <c r="A30" s="62" t="s">
        <v>77</v>
      </c>
      <c r="B30" s="62" t="s">
        <v>78</v>
      </c>
      <c r="C30" s="73" t="s">
        <v>112</v>
      </c>
      <c r="D30" s="63" t="s">
        <v>80</v>
      </c>
      <c r="E30" s="10" t="s">
        <v>46</v>
      </c>
      <c r="F30" s="66" t="s">
        <v>113</v>
      </c>
      <c r="G30" s="12">
        <v>45273</v>
      </c>
      <c r="H30" s="12">
        <v>46387</v>
      </c>
      <c r="I30" s="30">
        <v>3161</v>
      </c>
      <c r="J30" s="30">
        <v>64</v>
      </c>
      <c r="K30" s="24">
        <v>33</v>
      </c>
      <c r="L30" s="15">
        <v>14905281</v>
      </c>
      <c r="M30" s="16">
        <f>2939148</f>
        <v>2939148</v>
      </c>
      <c r="N30" s="14"/>
      <c r="O30" s="14">
        <f t="shared" si="11"/>
        <v>17844429</v>
      </c>
      <c r="P30" s="14"/>
      <c r="Q30" s="14"/>
      <c r="R30" s="14"/>
      <c r="S30" s="14"/>
      <c r="T30" s="14"/>
      <c r="U30" s="14"/>
      <c r="V30" s="14">
        <f t="shared" si="12"/>
        <v>0</v>
      </c>
      <c r="W30" s="15">
        <f t="shared" si="10"/>
        <v>17844429</v>
      </c>
      <c r="X30" s="8"/>
      <c r="Y30" s="8"/>
      <c r="Z30" s="8"/>
      <c r="AA30" s="8">
        <v>375456.73</v>
      </c>
      <c r="AB30" s="8">
        <v>9082223.2999999989</v>
      </c>
      <c r="AC30" s="8">
        <v>3175915.55</v>
      </c>
      <c r="AD30" s="8"/>
      <c r="AE30" s="14">
        <f t="shared" si="13"/>
        <v>12633595.579999998</v>
      </c>
      <c r="AF30" s="15">
        <f t="shared" si="5"/>
        <v>5210833.4200000018</v>
      </c>
      <c r="AG30" s="46">
        <f t="shared" si="6"/>
        <v>0.70798542110817886</v>
      </c>
      <c r="AH30" s="88" t="str">
        <f>DPBH!AH18</f>
        <v>N/A</v>
      </c>
      <c r="AI30" s="88">
        <f>DPBH!AI18</f>
        <v>452701.87</v>
      </c>
      <c r="AJ30" s="88">
        <f>DPBH!AJ18</f>
        <v>452701.87</v>
      </c>
      <c r="AK30" s="88">
        <f>DPBH!AK18</f>
        <v>452701.87</v>
      </c>
      <c r="AL30" s="88">
        <f>DPBH!AL18</f>
        <v>452701.87</v>
      </c>
      <c r="AM30" s="88">
        <f>DPBH!AM18</f>
        <v>452701.87</v>
      </c>
      <c r="AN30" s="88">
        <f>DPBH!AN18</f>
        <v>452701.87</v>
      </c>
      <c r="AO30" s="88">
        <f>DPBH!AO18</f>
        <v>452701.87</v>
      </c>
      <c r="AP30" s="88">
        <f>DPBH!AP18</f>
        <v>452701.87</v>
      </c>
      <c r="AQ30" s="88">
        <f>DPBH!AQ18</f>
        <v>452701.87</v>
      </c>
      <c r="AR30" s="88">
        <f>DPBH!AR18</f>
        <v>452701.87</v>
      </c>
      <c r="AS30" s="88">
        <f>DPBH!AS18</f>
        <v>452701.87</v>
      </c>
      <c r="AT30" s="88">
        <f>DPBH!AT18</f>
        <v>452701.81</v>
      </c>
      <c r="AU30" s="88">
        <f>DPBH!AU18</f>
        <v>0</v>
      </c>
      <c r="AV30" s="87">
        <f t="shared" si="7"/>
        <v>5432422.3799999999</v>
      </c>
      <c r="AW30" s="87">
        <f t="shared" si="8"/>
        <v>221588.9599999981</v>
      </c>
      <c r="AX30" s="82" t="str">
        <f>DPBH!AX18</f>
        <v>On Track</v>
      </c>
      <c r="AY30" s="95" t="str">
        <f>DPBH!AY18</f>
        <v xml:space="preserve">Sub-awards have been executed and awarded to Clark County Detention Center and Washoe County Jail. Program in full operating for Washoe and Clark Counties.   Program continues to be the destination of re-allocated funds to support ongoing efforts.  Additional Supplemental Allocation of $221,588.96 from NRSAP01 accounts for $221,588.96 overobligation amount.  </v>
      </c>
    </row>
    <row r="31" spans="1:51" ht="38.85" customHeight="1" x14ac:dyDescent="0.25">
      <c r="A31" s="62" t="s">
        <v>77</v>
      </c>
      <c r="B31" s="62" t="s">
        <v>78</v>
      </c>
      <c r="C31" s="75" t="s">
        <v>114</v>
      </c>
      <c r="D31" s="63" t="s">
        <v>80</v>
      </c>
      <c r="E31" s="10" t="s">
        <v>46</v>
      </c>
      <c r="F31" s="66" t="s">
        <v>115</v>
      </c>
      <c r="G31" s="12">
        <v>45247</v>
      </c>
      <c r="H31" s="12">
        <v>46387</v>
      </c>
      <c r="I31" s="30">
        <v>3161</v>
      </c>
      <c r="J31" s="30">
        <v>65</v>
      </c>
      <c r="K31" s="13">
        <v>34</v>
      </c>
      <c r="L31" s="15">
        <v>5716150</v>
      </c>
      <c r="M31" s="19"/>
      <c r="N31" s="14"/>
      <c r="O31" s="14">
        <f t="shared" si="11"/>
        <v>5716150</v>
      </c>
      <c r="P31" s="14"/>
      <c r="Q31" s="14"/>
      <c r="R31" s="14">
        <v>593974</v>
      </c>
      <c r="S31" s="14">
        <v>2721280</v>
      </c>
      <c r="T31" s="14"/>
      <c r="U31" s="14"/>
      <c r="V31" s="19">
        <f t="shared" si="12"/>
        <v>3315254</v>
      </c>
      <c r="W31" s="15">
        <f t="shared" si="10"/>
        <v>2400896</v>
      </c>
      <c r="X31" s="8"/>
      <c r="Y31" s="8"/>
      <c r="Z31" s="8"/>
      <c r="AA31" s="8">
        <v>192214.88</v>
      </c>
      <c r="AB31" s="8">
        <v>644083.94000000006</v>
      </c>
      <c r="AC31" s="8">
        <v>303465.87</v>
      </c>
      <c r="AD31" s="8"/>
      <c r="AE31" s="14">
        <f t="shared" si="13"/>
        <v>1139764.69</v>
      </c>
      <c r="AF31" s="15">
        <f t="shared" si="5"/>
        <v>1261131.31</v>
      </c>
      <c r="AG31" s="46">
        <f t="shared" si="6"/>
        <v>0.47472472360318813</v>
      </c>
      <c r="AH31" s="88" t="str">
        <f>DPBH!AH19</f>
        <v>N/A</v>
      </c>
      <c r="AI31" s="88">
        <f>DPBH!AI19</f>
        <v>105094.28</v>
      </c>
      <c r="AJ31" s="88">
        <f>DPBH!AJ19</f>
        <v>105094.28</v>
      </c>
      <c r="AK31" s="88">
        <f>DPBH!AK19</f>
        <v>105094.28</v>
      </c>
      <c r="AL31" s="88">
        <f>DPBH!AL19</f>
        <v>105094.28</v>
      </c>
      <c r="AM31" s="88">
        <f>DPBH!AM19</f>
        <v>105094.28</v>
      </c>
      <c r="AN31" s="88">
        <f>DPBH!AN19</f>
        <v>105094.28</v>
      </c>
      <c r="AO31" s="88">
        <f>DPBH!AO19</f>
        <v>105094.28</v>
      </c>
      <c r="AP31" s="88">
        <f>DPBH!AP19</f>
        <v>105094.28</v>
      </c>
      <c r="AQ31" s="88">
        <f>DPBH!AQ19</f>
        <v>105094.28</v>
      </c>
      <c r="AR31" s="88">
        <f>DPBH!AR19</f>
        <v>105094.28</v>
      </c>
      <c r="AS31" s="88">
        <f>DPBH!AS19</f>
        <v>105094.28</v>
      </c>
      <c r="AT31" s="88">
        <f>DPBH!AT19</f>
        <v>105094.23</v>
      </c>
      <c r="AU31" s="88">
        <f>DPBH!AU19</f>
        <v>0</v>
      </c>
      <c r="AV31" s="87">
        <f t="shared" si="7"/>
        <v>1261131.31</v>
      </c>
      <c r="AW31" s="87">
        <f>AV31-AF31</f>
        <v>0</v>
      </c>
      <c r="AX31" s="82" t="str">
        <f>DPBH!AX19</f>
        <v>On Track</v>
      </c>
      <c r="AY31" s="95" t="str">
        <f>DPBH!AY19</f>
        <v>Excess funds identified in the amount of $2,939,148 have already been de-obligated. Remaining funds are expected to be fully expended, in equal parts for remaining months of project period.</v>
      </c>
    </row>
    <row r="32" spans="1:51" ht="27" customHeight="1" x14ac:dyDescent="0.25">
      <c r="A32" s="62" t="s">
        <v>116</v>
      </c>
      <c r="B32" s="62" t="s">
        <v>117</v>
      </c>
      <c r="C32" s="72" t="s">
        <v>118</v>
      </c>
      <c r="D32" s="63" t="s">
        <v>119</v>
      </c>
      <c r="E32" s="10" t="s">
        <v>46</v>
      </c>
      <c r="F32" s="66" t="s">
        <v>120</v>
      </c>
      <c r="G32" s="12">
        <v>44859</v>
      </c>
      <c r="H32" s="12">
        <v>46387</v>
      </c>
      <c r="I32" s="30">
        <v>3228</v>
      </c>
      <c r="J32" s="30">
        <v>53</v>
      </c>
      <c r="K32" s="13">
        <v>24</v>
      </c>
      <c r="L32" s="15">
        <v>3112296</v>
      </c>
      <c r="M32" s="14"/>
      <c r="N32" s="14">
        <v>9387704</v>
      </c>
      <c r="O32" s="14">
        <f t="shared" si="11"/>
        <v>12500000</v>
      </c>
      <c r="P32" s="14"/>
      <c r="Q32" s="14"/>
      <c r="R32" s="14"/>
      <c r="S32" s="14"/>
      <c r="T32" s="14"/>
      <c r="U32" s="14"/>
      <c r="V32" s="14">
        <f t="shared" si="12"/>
        <v>0</v>
      </c>
      <c r="W32" s="15">
        <f t="shared" ref="W32:W50" si="14">L32-V32+M32+N32</f>
        <v>12500000</v>
      </c>
      <c r="X32" s="8"/>
      <c r="Y32" s="8"/>
      <c r="Z32" s="8"/>
      <c r="AA32" s="8">
        <v>4148997.17</v>
      </c>
      <c r="AB32" s="8">
        <v>3964544.8200000003</v>
      </c>
      <c r="AC32" s="8">
        <v>890825.61</v>
      </c>
      <c r="AD32" s="8"/>
      <c r="AE32" s="14">
        <f t="shared" si="13"/>
        <v>9004367.5999999996</v>
      </c>
      <c r="AF32" s="15">
        <f t="shared" ref="AF32:AF50" si="15">W32-AE32</f>
        <v>3495632.4000000004</v>
      </c>
      <c r="AG32" s="46">
        <f t="shared" ref="AG32:AG50" si="16">AE32/W32</f>
        <v>0.72034940800000002</v>
      </c>
      <c r="AH32" s="88">
        <f>'DSS-DWSS'!AH4</f>
        <v>0</v>
      </c>
      <c r="AI32" s="88">
        <f>'DSS-DWSS'!AI4</f>
        <v>564202</v>
      </c>
      <c r="AJ32" s="88">
        <f>'DSS-DWSS'!AJ4</f>
        <v>510250</v>
      </c>
      <c r="AK32" s="88">
        <f>'DSS-DWSS'!AK4</f>
        <v>525906</v>
      </c>
      <c r="AL32" s="88">
        <f>'DSS-DWSS'!AL4</f>
        <v>743995</v>
      </c>
      <c r="AM32" s="88">
        <f>'DSS-DWSS'!AM4</f>
        <v>625637.4</v>
      </c>
      <c r="AN32" s="88">
        <f>'DSS-DWSS'!AN4</f>
        <v>525642</v>
      </c>
      <c r="AO32" s="88">
        <f>'DSS-DWSS'!AO4</f>
        <v>0</v>
      </c>
      <c r="AP32" s="88">
        <f>'DSS-DWSS'!AP4</f>
        <v>0</v>
      </c>
      <c r="AQ32" s="88">
        <f>'DSS-DWSS'!AQ4</f>
        <v>0</v>
      </c>
      <c r="AR32" s="88">
        <f>'DSS-DWSS'!AR4</f>
        <v>0</v>
      </c>
      <c r="AS32" s="88">
        <f>'DSS-DWSS'!AS4</f>
        <v>0</v>
      </c>
      <c r="AT32" s="88">
        <f>'DSS-DWSS'!AT4</f>
        <v>0</v>
      </c>
      <c r="AU32" s="88">
        <f>'DSS-DWSS'!AU4</f>
        <v>0</v>
      </c>
      <c r="AV32" s="87">
        <f t="shared" si="7"/>
        <v>3495632.4</v>
      </c>
      <c r="AW32" s="87">
        <f t="shared" si="8"/>
        <v>0</v>
      </c>
      <c r="AX32" s="82" t="str">
        <f>'DSS-DWSS'!AX4</f>
        <v>ON TRACK</v>
      </c>
      <c r="AY32" s="95" t="str">
        <f>'DSS-DWSS'!AY4</f>
        <v>This project is on track. The provided spend plan addresses the contractual deliverables for maintenance and operations. The Project management team addressing production defects and language translation activities as needed related to Access Nevada.  MSA roll off planning is underway. Planned completion date related to deliverables addressing maintenance and operation efforts are contractually obligated through June 30, 2026.</v>
      </c>
    </row>
    <row r="33" spans="1:51" ht="32.1" customHeight="1" x14ac:dyDescent="0.25">
      <c r="A33" s="62" t="s">
        <v>116</v>
      </c>
      <c r="B33" s="62" t="s">
        <v>117</v>
      </c>
      <c r="C33" s="72" t="s">
        <v>121</v>
      </c>
      <c r="D33" s="63" t="s">
        <v>119</v>
      </c>
      <c r="E33" s="10" t="s">
        <v>46</v>
      </c>
      <c r="F33" s="66" t="s">
        <v>122</v>
      </c>
      <c r="G33" s="12">
        <v>44687</v>
      </c>
      <c r="H33" s="12">
        <v>46387</v>
      </c>
      <c r="I33" s="42">
        <v>3267</v>
      </c>
      <c r="J33" s="30">
        <v>55</v>
      </c>
      <c r="K33" s="13">
        <v>27</v>
      </c>
      <c r="L33" s="15">
        <v>30000000</v>
      </c>
      <c r="M33" s="14"/>
      <c r="N33" s="14"/>
      <c r="O33" s="14">
        <f t="shared" si="11"/>
        <v>30000000</v>
      </c>
      <c r="P33" s="14"/>
      <c r="Q33" s="14"/>
      <c r="R33" s="14"/>
      <c r="S33" s="14"/>
      <c r="T33" s="14"/>
      <c r="U33" s="14"/>
      <c r="V33" s="14">
        <f t="shared" si="12"/>
        <v>0</v>
      </c>
      <c r="W33" s="15">
        <f t="shared" si="14"/>
        <v>30000000</v>
      </c>
      <c r="X33" s="8"/>
      <c r="Y33" s="8"/>
      <c r="Z33" s="8">
        <v>8455742.5600000005</v>
      </c>
      <c r="AA33" s="8">
        <v>11363038.519999998</v>
      </c>
      <c r="AB33" s="8">
        <v>5323464.9200000009</v>
      </c>
      <c r="AC33" s="8">
        <v>3279282.63</v>
      </c>
      <c r="AD33" s="8"/>
      <c r="AE33" s="14">
        <f t="shared" si="13"/>
        <v>28421528.629999999</v>
      </c>
      <c r="AF33" s="15">
        <f t="shared" si="15"/>
        <v>1578471.370000001</v>
      </c>
      <c r="AG33" s="46">
        <f t="shared" si="16"/>
        <v>0.9473842876666666</v>
      </c>
      <c r="AH33" s="88">
        <f>'DSS-DWSS'!AH5</f>
        <v>0</v>
      </c>
      <c r="AI33" s="88">
        <f>'DSS-DWSS'!AI5</f>
        <v>134498.85</v>
      </c>
      <c r="AJ33" s="88">
        <f>'DSS-DWSS'!AJ5</f>
        <v>107959.28</v>
      </c>
      <c r="AK33" s="88">
        <f>'DSS-DWSS'!AK5</f>
        <v>208329.84</v>
      </c>
      <c r="AL33" s="88">
        <f>'DSS-DWSS'!AL5</f>
        <v>7959.29</v>
      </c>
      <c r="AM33" s="88">
        <f>'DSS-DWSS'!AM5</f>
        <v>619215.79</v>
      </c>
      <c r="AN33" s="88">
        <f>'DSS-DWSS'!AN5</f>
        <v>13200</v>
      </c>
      <c r="AO33" s="88">
        <f>'DSS-DWSS'!AO5</f>
        <v>209459.29</v>
      </c>
      <c r="AP33" s="88">
        <f>'DSS-DWSS'!AP5</f>
        <v>207959.29</v>
      </c>
      <c r="AQ33" s="88">
        <f>'DSS-DWSS'!AQ5</f>
        <v>35960.239999999998</v>
      </c>
      <c r="AR33" s="88">
        <f>'DSS-DWSS'!AR5</f>
        <v>7959.29</v>
      </c>
      <c r="AS33" s="88">
        <f>'DSS-DWSS'!AS5</f>
        <v>15000</v>
      </c>
      <c r="AT33" s="88">
        <f>'DSS-DWSS'!AT5</f>
        <v>10970.21</v>
      </c>
      <c r="AU33" s="88">
        <f>'DSS-DWSS'!AU5</f>
        <v>0</v>
      </c>
      <c r="AV33" s="87">
        <f t="shared" ref="AV33:AV50" si="17">SUM(AH33:AU33)</f>
        <v>1578471.37</v>
      </c>
      <c r="AW33" s="87">
        <f t="shared" ref="AW33:AW50" si="18">AV33-AF33</f>
        <v>0</v>
      </c>
      <c r="AX33" s="82" t="str">
        <f>'DSS-DWSS'!AX5</f>
        <v>ON TRACK</v>
      </c>
      <c r="AY33" s="95" t="str">
        <f>'DSS-DWSS'!AY5</f>
        <v>All sub-recipients were contacted via email and each provided a detailed spend down specific to their project.  These are confirmed spending plans based on timelines for construction and facility opening dates. We estimate the final payments to subawardees will be completed by September 2026. The remaining projections are for two contractors that are overseeing the projects through December 21, 2026.</v>
      </c>
    </row>
    <row r="34" spans="1:51" ht="36" customHeight="1" x14ac:dyDescent="0.25">
      <c r="A34" s="62" t="s">
        <v>116</v>
      </c>
      <c r="B34" s="62" t="s">
        <v>123</v>
      </c>
      <c r="C34" s="73" t="s">
        <v>124</v>
      </c>
      <c r="D34" s="63" t="s">
        <v>119</v>
      </c>
      <c r="E34" s="10" t="s">
        <v>46</v>
      </c>
      <c r="F34" s="66" t="s">
        <v>125</v>
      </c>
      <c r="G34" s="12">
        <v>44854</v>
      </c>
      <c r="H34" s="12">
        <v>46387</v>
      </c>
      <c r="I34" s="42">
        <v>3228</v>
      </c>
      <c r="J34" s="30">
        <v>64</v>
      </c>
      <c r="K34" s="13">
        <v>24</v>
      </c>
      <c r="L34" s="15">
        <v>48510328</v>
      </c>
      <c r="M34" s="14"/>
      <c r="N34" s="14"/>
      <c r="O34" s="14">
        <f t="shared" si="11"/>
        <v>48510328</v>
      </c>
      <c r="P34" s="14"/>
      <c r="Q34" s="14"/>
      <c r="R34" s="14"/>
      <c r="S34" s="14"/>
      <c r="T34" s="14"/>
      <c r="U34" s="14"/>
      <c r="V34" s="14">
        <f t="shared" si="12"/>
        <v>0</v>
      </c>
      <c r="W34" s="15">
        <f t="shared" si="14"/>
        <v>48510328</v>
      </c>
      <c r="X34" s="8"/>
      <c r="Y34" s="8"/>
      <c r="Z34" s="8">
        <v>2963017.72</v>
      </c>
      <c r="AA34" s="8">
        <v>6787741.040000001</v>
      </c>
      <c r="AB34" s="8">
        <v>10541855.110000001</v>
      </c>
      <c r="AC34" s="8">
        <v>7350285.5899999999</v>
      </c>
      <c r="AD34" s="8"/>
      <c r="AE34" s="14">
        <f t="shared" si="13"/>
        <v>27642899.460000005</v>
      </c>
      <c r="AF34" s="15">
        <f t="shared" si="15"/>
        <v>20867428.539999995</v>
      </c>
      <c r="AG34" s="46">
        <f t="shared" si="16"/>
        <v>0.5698353443415185</v>
      </c>
      <c r="AH34" s="88">
        <f>'DSS-DWSS'!AH6</f>
        <v>0</v>
      </c>
      <c r="AI34" s="88">
        <f>'DSS-DWSS'!AI6</f>
        <v>39408.5</v>
      </c>
      <c r="AJ34" s="88">
        <f>'DSS-DWSS'!AJ6</f>
        <v>1718314</v>
      </c>
      <c r="AK34" s="88">
        <f>'DSS-DWSS'!AK6</f>
        <v>1935015</v>
      </c>
      <c r="AL34" s="88">
        <f>'DSS-DWSS'!AL6</f>
        <v>3250651</v>
      </c>
      <c r="AM34" s="88">
        <f>'DSS-DWSS'!AM6</f>
        <v>2967120</v>
      </c>
      <c r="AN34" s="88">
        <f>'DSS-DWSS'!AN6</f>
        <v>3013235</v>
      </c>
      <c r="AO34" s="88">
        <f>'DSS-DWSS'!AO6</f>
        <v>1207952</v>
      </c>
      <c r="AP34" s="88">
        <f>'DSS-DWSS'!AP6</f>
        <v>1934308.45</v>
      </c>
      <c r="AQ34" s="88">
        <f>'DSS-DWSS'!AQ6</f>
        <v>1121286</v>
      </c>
      <c r="AR34" s="88">
        <f>'DSS-DWSS'!AR6</f>
        <v>1235001</v>
      </c>
      <c r="AS34" s="88">
        <f>'DSS-DWSS'!AS6</f>
        <v>1235001</v>
      </c>
      <c r="AT34" s="88">
        <f>'DSS-DWSS'!AT6</f>
        <v>1210136.5900000001</v>
      </c>
      <c r="AU34" s="88">
        <f>'DSS-DWSS'!AU6</f>
        <v>0</v>
      </c>
      <c r="AV34" s="87">
        <f t="shared" si="17"/>
        <v>20867428.539999999</v>
      </c>
      <c r="AW34" s="87">
        <f t="shared" si="18"/>
        <v>0</v>
      </c>
      <c r="AX34" s="82" t="str">
        <f>'DSS-DWSS'!AX6</f>
        <v>ON TRACK</v>
      </c>
      <c r="AY34" s="95" t="str">
        <f>'DSS-DWSS'!AY6</f>
        <v xml:space="preserve">Funds have been obligated and currently being expended by the approved project delivery contract with vendor. Phase I is complete, and maintenance and operations efforts are correcting production defects. Phase II is in UAT Testing at 40% complete. Additional hours being added to UAT testers to remain on track for planned delivery. Phase II is on track as planned to go live February 2026. Phase III will have address production support Phase II, Phase III, stabilize batches, payments, federal interface and decommissioning of NOMADS.  </v>
      </c>
    </row>
    <row r="35" spans="1:51" ht="32.1" customHeight="1" x14ac:dyDescent="0.25">
      <c r="A35" s="62" t="s">
        <v>116</v>
      </c>
      <c r="B35" s="62" t="s">
        <v>123</v>
      </c>
      <c r="C35" s="71" t="s">
        <v>126</v>
      </c>
      <c r="D35" s="63" t="s">
        <v>119</v>
      </c>
      <c r="E35" s="11"/>
      <c r="F35" s="67" t="s">
        <v>127</v>
      </c>
      <c r="G35" s="23">
        <v>45456</v>
      </c>
      <c r="H35" s="23">
        <v>46022</v>
      </c>
      <c r="I35" s="43">
        <v>3228</v>
      </c>
      <c r="J35" s="43">
        <v>49</v>
      </c>
      <c r="K35" s="24">
        <v>24</v>
      </c>
      <c r="L35" s="25">
        <v>6239322</v>
      </c>
      <c r="M35" s="22"/>
      <c r="N35" s="22"/>
      <c r="O35" s="22">
        <f t="shared" si="11"/>
        <v>6239322</v>
      </c>
      <c r="P35" s="22"/>
      <c r="Q35" s="22"/>
      <c r="R35" s="22"/>
      <c r="S35" s="22"/>
      <c r="T35" s="22"/>
      <c r="U35" s="22"/>
      <c r="V35" s="22">
        <f t="shared" ref="V35:V50" si="19">SUM(P35:U35)</f>
        <v>0</v>
      </c>
      <c r="W35" s="25">
        <f t="shared" si="14"/>
        <v>6239322</v>
      </c>
      <c r="X35" s="8"/>
      <c r="Y35" s="8"/>
      <c r="Z35" s="8"/>
      <c r="AA35" s="8"/>
      <c r="AB35" s="8">
        <v>5209115.2300000004</v>
      </c>
      <c r="AC35" s="8">
        <v>775778.61999999988</v>
      </c>
      <c r="AD35" s="8"/>
      <c r="AE35" s="14">
        <f t="shared" si="13"/>
        <v>5984893.8500000006</v>
      </c>
      <c r="AF35" s="25">
        <f t="shared" si="15"/>
        <v>254428.14999999944</v>
      </c>
      <c r="AG35" s="46">
        <f t="shared" si="16"/>
        <v>0.95922182730751848</v>
      </c>
      <c r="AH35" s="88">
        <f>'DSS-DWSS'!AH7</f>
        <v>0</v>
      </c>
      <c r="AI35" s="88">
        <f>'DSS-DWSS'!AI7</f>
        <v>8180.63</v>
      </c>
      <c r="AJ35" s="88">
        <f>'DSS-DWSS'!AJ7</f>
        <v>246247.52</v>
      </c>
      <c r="AK35" s="88">
        <f>'DSS-DWSS'!AK7</f>
        <v>0</v>
      </c>
      <c r="AL35" s="88">
        <f>'DSS-DWSS'!AL7</f>
        <v>0</v>
      </c>
      <c r="AM35" s="88">
        <f>'DSS-DWSS'!AM7</f>
        <v>0</v>
      </c>
      <c r="AN35" s="88">
        <f>'DSS-DWSS'!AN7</f>
        <v>0</v>
      </c>
      <c r="AO35" s="88">
        <f>'DSS-DWSS'!AO7</f>
        <v>0</v>
      </c>
      <c r="AP35" s="88">
        <f>'DSS-DWSS'!AP7</f>
        <v>0</v>
      </c>
      <c r="AQ35" s="88">
        <f>'DSS-DWSS'!AQ7</f>
        <v>0</v>
      </c>
      <c r="AR35" s="88">
        <f>'DSS-DWSS'!AR7</f>
        <v>0</v>
      </c>
      <c r="AS35" s="88">
        <f>'DSS-DWSS'!AS7</f>
        <v>0</v>
      </c>
      <c r="AT35" s="88">
        <f>'DSS-DWSS'!AT7</f>
        <v>0</v>
      </c>
      <c r="AU35" s="88">
        <f>'DSS-DWSS'!AU7</f>
        <v>0</v>
      </c>
      <c r="AV35" s="87">
        <f t="shared" si="17"/>
        <v>254428.15</v>
      </c>
      <c r="AW35" s="87">
        <f t="shared" si="18"/>
        <v>5.5297277867794037E-10</v>
      </c>
      <c r="AX35" s="82" t="str">
        <f>'DSS-DWSS'!AX7</f>
        <v>On-Track, timing of some costs is dependent on timely billings from other agencies.</v>
      </c>
      <c r="AY35" s="95" t="str">
        <f>'DSS-DWSS'!AY7</f>
        <v xml:space="preserve">Payments went out as planned as the project met the key deliverables tied to payment. No change orders impacted scope, cost, or schedule which remains aligned to the approved funding request. Funds are still being utilized to support ongoing M&amp;O and other EBT-related costs associated with the 2025 program issuance and administration. We are also anticipating additional invoicing from the system enhancement vendor and FIS for benefit issuances and related services that occurred through October. Summer EBT projections also include, rent charges and the division's federally approved Cost Allocated payroll and operating costs in support of SEBT. ARPA funds are projected to be expended by 02/01/2026, accounting for any delays in receipt of invoices or delays in cost allocation. October invoice in the amount of $146,687.50 has been received from Deloitte but not fully processed and closed in EPro. Still pending Deloitte's invoices for M&amp;O month's of November, December. The EBT vendor FIS' invoice #1004349939 (dated July 16, 2025; due August 16, 2025) for $96,871.08 is stale dated and will be paid in the next 60 days. </v>
      </c>
    </row>
    <row r="36" spans="1:51" s="26" customFormat="1" ht="38.85" customHeight="1" x14ac:dyDescent="0.2">
      <c r="A36" s="62" t="s">
        <v>128</v>
      </c>
      <c r="B36" s="62" t="s">
        <v>129</v>
      </c>
      <c r="C36" s="73" t="s">
        <v>130</v>
      </c>
      <c r="D36" s="63" t="s">
        <v>131</v>
      </c>
      <c r="E36" s="10" t="s">
        <v>46</v>
      </c>
      <c r="F36" s="66" t="s">
        <v>132</v>
      </c>
      <c r="G36" s="12">
        <v>44658</v>
      </c>
      <c r="H36" s="12">
        <v>46387</v>
      </c>
      <c r="I36" s="42">
        <v>3646</v>
      </c>
      <c r="J36" s="30">
        <v>48</v>
      </c>
      <c r="K36" s="13">
        <v>23</v>
      </c>
      <c r="L36" s="15">
        <v>916718</v>
      </c>
      <c r="M36" s="14"/>
      <c r="N36" s="14"/>
      <c r="O36" s="14">
        <f t="shared" ref="O36:O50" si="20">SUM(L36:N36)</f>
        <v>916718</v>
      </c>
      <c r="P36" s="14"/>
      <c r="Q36" s="14"/>
      <c r="R36" s="14"/>
      <c r="S36" s="14"/>
      <c r="T36" s="14"/>
      <c r="U36" s="14"/>
      <c r="V36" s="14">
        <f t="shared" si="19"/>
        <v>0</v>
      </c>
      <c r="W36" s="15">
        <f t="shared" si="14"/>
        <v>916718</v>
      </c>
      <c r="X36" s="8"/>
      <c r="Y36" s="8">
        <v>422.52</v>
      </c>
      <c r="Z36" s="8">
        <v>71653.310000000012</v>
      </c>
      <c r="AA36" s="8">
        <v>139935.26999999999</v>
      </c>
      <c r="AB36" s="8">
        <v>244571.99000000002</v>
      </c>
      <c r="AC36" s="8">
        <v>9720</v>
      </c>
      <c r="AD36" s="8"/>
      <c r="AE36" s="14">
        <f t="shared" ref="AE36:AE43" si="21">SUM(X36:AD36)</f>
        <v>466303.09</v>
      </c>
      <c r="AF36" s="15">
        <f t="shared" si="15"/>
        <v>450414.91</v>
      </c>
      <c r="AG36" s="46">
        <f t="shared" si="16"/>
        <v>0.508665794715496</v>
      </c>
      <c r="AH36" s="89" t="str">
        <f>DCFS!AH4</f>
        <v>N/A</v>
      </c>
      <c r="AI36" s="89">
        <f>DCFS!AI4</f>
        <v>0</v>
      </c>
      <c r="AJ36" s="89">
        <f>DCFS!AJ4</f>
        <v>0</v>
      </c>
      <c r="AK36" s="89">
        <f>DCFS!AK4</f>
        <v>0</v>
      </c>
      <c r="AL36" s="89">
        <f>DCFS!AL4</f>
        <v>49800</v>
      </c>
      <c r="AM36" s="89">
        <f>DCFS!AM4</f>
        <v>49800</v>
      </c>
      <c r="AN36" s="89">
        <f>DCFS!AN4</f>
        <v>49800</v>
      </c>
      <c r="AO36" s="89">
        <f>DCFS!AO4</f>
        <v>49800</v>
      </c>
      <c r="AP36" s="89">
        <f>DCFS!AP4</f>
        <v>49800</v>
      </c>
      <c r="AQ36" s="89">
        <f>DCFS!AQ4</f>
        <v>49800</v>
      </c>
      <c r="AR36" s="89">
        <f>DCFS!AR4</f>
        <v>49800</v>
      </c>
      <c r="AS36" s="89">
        <f>DCFS!AS4</f>
        <v>49800</v>
      </c>
      <c r="AT36" s="89">
        <f>DCFS!AT4</f>
        <v>52014.91</v>
      </c>
      <c r="AU36" s="89">
        <f>DCFS!AU4</f>
        <v>0</v>
      </c>
      <c r="AV36" s="87">
        <f t="shared" si="17"/>
        <v>450414.91000000003</v>
      </c>
      <c r="AW36" s="87">
        <f t="shared" si="18"/>
        <v>0</v>
      </c>
      <c r="AX36" s="83" t="str">
        <f>DCFS!AX4</f>
        <v>Delays</v>
      </c>
      <c r="AY36" s="104" t="str">
        <f>DCFS!AY4</f>
        <v>The construction project is expected to begin in March. State Public Works anticipates issuing equal monthly billings starting in April and fully expending the funds by the end of December. According to the current project schedule, the work remains on track with a projected completion date of December 2026.</v>
      </c>
    </row>
    <row r="37" spans="1:51" ht="76.5" x14ac:dyDescent="0.25">
      <c r="A37" s="62" t="s">
        <v>128</v>
      </c>
      <c r="B37" s="62" t="s">
        <v>129</v>
      </c>
      <c r="C37" s="72" t="s">
        <v>133</v>
      </c>
      <c r="D37" s="63" t="s">
        <v>131</v>
      </c>
      <c r="E37" s="10" t="s">
        <v>46</v>
      </c>
      <c r="F37" s="67" t="s">
        <v>134</v>
      </c>
      <c r="G37" s="12">
        <v>44791</v>
      </c>
      <c r="H37" s="12">
        <v>46387</v>
      </c>
      <c r="I37" s="42">
        <v>3646</v>
      </c>
      <c r="J37" s="30">
        <v>49</v>
      </c>
      <c r="K37" s="13">
        <v>23</v>
      </c>
      <c r="L37" s="15">
        <v>5072061</v>
      </c>
      <c r="M37" s="19"/>
      <c r="N37" s="14"/>
      <c r="O37" s="14">
        <f t="shared" si="20"/>
        <v>5072061</v>
      </c>
      <c r="P37" s="14"/>
      <c r="Q37" s="14"/>
      <c r="R37" s="14"/>
      <c r="S37" s="14"/>
      <c r="T37" s="14"/>
      <c r="U37" s="14"/>
      <c r="V37" s="19">
        <f t="shared" si="19"/>
        <v>0</v>
      </c>
      <c r="W37" s="15">
        <f t="shared" si="14"/>
        <v>5072061</v>
      </c>
      <c r="X37" s="8"/>
      <c r="Y37" s="8"/>
      <c r="Z37" s="8">
        <v>155077.79999999999</v>
      </c>
      <c r="AA37" s="8">
        <v>1178187.53</v>
      </c>
      <c r="AB37" s="8">
        <v>1203299.4099999999</v>
      </c>
      <c r="AC37" s="8">
        <v>863392.01</v>
      </c>
      <c r="AD37" s="8"/>
      <c r="AE37" s="14">
        <f t="shared" si="21"/>
        <v>3399956.75</v>
      </c>
      <c r="AF37" s="15">
        <f t="shared" si="15"/>
        <v>1672104.25</v>
      </c>
      <c r="AG37" s="46">
        <f t="shared" si="16"/>
        <v>0.6703304140072448</v>
      </c>
      <c r="AH37" s="89" t="str">
        <f>DCFS!AH5</f>
        <v>N/A</v>
      </c>
      <c r="AI37" s="89">
        <f>DCFS!AI5</f>
        <v>0</v>
      </c>
      <c r="AJ37" s="89">
        <f>DCFS!AJ5</f>
        <v>0</v>
      </c>
      <c r="AK37" s="89">
        <f>DCFS!AK5</f>
        <v>0</v>
      </c>
      <c r="AL37" s="89">
        <f>DCFS!AL5</f>
        <v>180100</v>
      </c>
      <c r="AM37" s="89">
        <f>DCFS!AM5</f>
        <v>180100</v>
      </c>
      <c r="AN37" s="89">
        <f>DCFS!AN5</f>
        <v>180100</v>
      </c>
      <c r="AO37" s="89">
        <f>DCFS!AO5</f>
        <v>180100</v>
      </c>
      <c r="AP37" s="89">
        <f>DCFS!AP5</f>
        <v>180100</v>
      </c>
      <c r="AQ37" s="89">
        <f>DCFS!AQ5</f>
        <v>180100</v>
      </c>
      <c r="AR37" s="89">
        <f>DCFS!AR5</f>
        <v>180100</v>
      </c>
      <c r="AS37" s="89">
        <f>DCFS!AS5</f>
        <v>180100</v>
      </c>
      <c r="AT37" s="89">
        <f>DCFS!AT5</f>
        <v>231304.25</v>
      </c>
      <c r="AU37" s="89">
        <f>DCFS!AU5</f>
        <v>0</v>
      </c>
      <c r="AV37" s="87">
        <f t="shared" si="17"/>
        <v>1672104.25</v>
      </c>
      <c r="AW37" s="87">
        <f t="shared" si="18"/>
        <v>0</v>
      </c>
      <c r="AX37" s="83" t="str">
        <f>DCFS!AX5</f>
        <v>On track</v>
      </c>
      <c r="AY37" s="104" t="str">
        <f>DCFS!AY5</f>
        <v>The construction project is expected to begin in March. State Public Works anticipates issuing equal monthly billings starting in April and fully expending the funds by the end of December. According to the current project schedule, the work remains on track with a projected completion date of December 2026.</v>
      </c>
    </row>
    <row r="38" spans="1:51" ht="29.85" customHeight="1" x14ac:dyDescent="0.25">
      <c r="A38" s="62" t="s">
        <v>128</v>
      </c>
      <c r="B38" s="62" t="s">
        <v>129</v>
      </c>
      <c r="C38" s="72" t="s">
        <v>135</v>
      </c>
      <c r="D38" s="63" t="s">
        <v>136</v>
      </c>
      <c r="E38" s="10" t="s">
        <v>46</v>
      </c>
      <c r="F38" s="66" t="s">
        <v>137</v>
      </c>
      <c r="G38" s="12">
        <v>44791</v>
      </c>
      <c r="H38" s="12">
        <v>46203</v>
      </c>
      <c r="I38" s="42">
        <v>3145</v>
      </c>
      <c r="J38" s="30">
        <v>44</v>
      </c>
      <c r="K38" s="13">
        <v>31</v>
      </c>
      <c r="L38" s="15">
        <v>4198804</v>
      </c>
      <c r="M38" s="19"/>
      <c r="N38" s="14"/>
      <c r="O38" s="14">
        <f t="shared" si="20"/>
        <v>4198804</v>
      </c>
      <c r="P38" s="14"/>
      <c r="Q38" s="14"/>
      <c r="R38" s="14"/>
      <c r="S38" s="14"/>
      <c r="T38" s="14"/>
      <c r="U38" s="14"/>
      <c r="V38" s="19">
        <f t="shared" si="19"/>
        <v>0</v>
      </c>
      <c r="W38" s="15">
        <f t="shared" si="14"/>
        <v>4198804</v>
      </c>
      <c r="X38" s="8"/>
      <c r="Y38" s="8"/>
      <c r="Z38" s="8"/>
      <c r="AA38" s="8">
        <v>769154.54</v>
      </c>
      <c r="AB38" s="8">
        <v>106694</v>
      </c>
      <c r="AC38" s="8">
        <v>120373.5</v>
      </c>
      <c r="AD38" s="8"/>
      <c r="AE38" s="14">
        <f t="shared" si="21"/>
        <v>996222.04</v>
      </c>
      <c r="AF38" s="15">
        <f t="shared" si="15"/>
        <v>3202581.96</v>
      </c>
      <c r="AG38" s="46">
        <f t="shared" si="16"/>
        <v>0.23726328735516114</v>
      </c>
      <c r="AH38" s="89" t="str">
        <f>DCFS!AH6</f>
        <v>N/A</v>
      </c>
      <c r="AI38" s="89">
        <f>DCFS!AI6</f>
        <v>600000</v>
      </c>
      <c r="AJ38" s="89">
        <f>DCFS!AJ6</f>
        <v>600000</v>
      </c>
      <c r="AK38" s="89">
        <f>DCFS!AK6</f>
        <v>600000</v>
      </c>
      <c r="AL38" s="89">
        <f>DCFS!AL6</f>
        <v>600000</v>
      </c>
      <c r="AM38" s="89">
        <f>DCFS!AM6</f>
        <v>600000</v>
      </c>
      <c r="AN38" s="89">
        <f>DCFS!AN6</f>
        <v>202581.96</v>
      </c>
      <c r="AO38" s="89">
        <f>DCFS!AO6</f>
        <v>0</v>
      </c>
      <c r="AP38" s="89">
        <f>DCFS!AP6</f>
        <v>0</v>
      </c>
      <c r="AQ38" s="89">
        <f>DCFS!AQ6</f>
        <v>0</v>
      </c>
      <c r="AR38" s="89">
        <f>DCFS!AR6</f>
        <v>0</v>
      </c>
      <c r="AS38" s="89">
        <f>DCFS!AS6</f>
        <v>0</v>
      </c>
      <c r="AT38" s="89">
        <f>DCFS!AT6</f>
        <v>0</v>
      </c>
      <c r="AU38" s="89">
        <f>DCFS!AU6</f>
        <v>0</v>
      </c>
      <c r="AV38" s="87">
        <f t="shared" si="17"/>
        <v>3202581.96</v>
      </c>
      <c r="AW38" s="87">
        <f t="shared" si="18"/>
        <v>0</v>
      </c>
      <c r="AX38" s="83" t="str">
        <f>DCFS!AX6</f>
        <v>On track</v>
      </c>
      <c r="AY38" s="104" t="str">
        <f>DCFS!AY6</f>
        <v xml:space="preserve">This project allocates ARPA funds to develop the new Clark County Clinical and Community Services (CCS) department. The new department represents a major system transformation for Clark County, establishing a dedicated division to support the implementation of Family First Prevention Services Act (FFPSA), Differential Response, and enhanced Medicaid-funded services for children with behavioral health needs. This plan aligns expenditures with operational readiness and contract execution timelines. Spending between January 2026 – June 2026 emphasizes infrastructure, IT systems, services restructure and hiring staff and training investments required to launch and sustain the department. The County anticipates full drawdown of the $3.3 million by June 30, 2026.  Clark County is utilizing this ARPA project to set up a Qualified Residential Treatment Program (QRTP) which provides non-foster family home setting that is intended for children and youth with behavioral health challenges. Projections from February through June 2026 are based on current spending trends. </v>
      </c>
    </row>
    <row r="39" spans="1:51" ht="30" customHeight="1" x14ac:dyDescent="0.25">
      <c r="A39" s="62" t="s">
        <v>128</v>
      </c>
      <c r="B39" s="62" t="s">
        <v>129</v>
      </c>
      <c r="C39" s="71" t="s">
        <v>138</v>
      </c>
      <c r="D39" s="63" t="s">
        <v>136</v>
      </c>
      <c r="E39" s="10" t="s">
        <v>46</v>
      </c>
      <c r="F39" s="66" t="s">
        <v>139</v>
      </c>
      <c r="G39" s="12">
        <v>44957</v>
      </c>
      <c r="H39" s="12">
        <v>46203</v>
      </c>
      <c r="I39" s="42">
        <v>3145</v>
      </c>
      <c r="J39" s="30">
        <v>52</v>
      </c>
      <c r="K39" s="13">
        <v>29</v>
      </c>
      <c r="L39" s="15">
        <v>5000000</v>
      </c>
      <c r="M39" s="14"/>
      <c r="N39" s="14"/>
      <c r="O39" s="14">
        <f t="shared" si="20"/>
        <v>5000000</v>
      </c>
      <c r="P39" s="14"/>
      <c r="Q39" s="14"/>
      <c r="R39" s="14"/>
      <c r="S39" s="14"/>
      <c r="T39" s="14"/>
      <c r="U39" s="14"/>
      <c r="V39" s="14">
        <f t="shared" si="19"/>
        <v>0</v>
      </c>
      <c r="W39" s="15">
        <f t="shared" si="14"/>
        <v>5000000</v>
      </c>
      <c r="X39" s="8"/>
      <c r="Y39" s="8"/>
      <c r="Z39" s="8">
        <v>68238.709999999992</v>
      </c>
      <c r="AA39" s="8">
        <v>1386373.2</v>
      </c>
      <c r="AB39" s="8">
        <v>2608138.27</v>
      </c>
      <c r="AC39" s="8">
        <v>48000</v>
      </c>
      <c r="AD39" s="8">
        <v>0</v>
      </c>
      <c r="AE39" s="14">
        <f t="shared" si="21"/>
        <v>4110750.1799999997</v>
      </c>
      <c r="AF39" s="15">
        <f t="shared" si="15"/>
        <v>889249.8200000003</v>
      </c>
      <c r="AG39" s="48">
        <f t="shared" si="16"/>
        <v>0.82215003599999992</v>
      </c>
      <c r="AH39" s="89" t="str">
        <f>DCFS!AH7</f>
        <v>N/A</v>
      </c>
      <c r="AI39" s="89">
        <f>DCFS!AI7</f>
        <v>200000</v>
      </c>
      <c r="AJ39" s="89">
        <f>DCFS!AJ7</f>
        <v>200000</v>
      </c>
      <c r="AK39" s="89">
        <f>DCFS!AK7</f>
        <v>200000</v>
      </c>
      <c r="AL39" s="89">
        <f>DCFS!AL7</f>
        <v>200000</v>
      </c>
      <c r="AM39" s="89">
        <f>DCFS!AM7</f>
        <v>89249.82</v>
      </c>
      <c r="AN39" s="89">
        <f>DCFS!AN7</f>
        <v>0</v>
      </c>
      <c r="AO39" s="89">
        <f>DCFS!AO7</f>
        <v>0</v>
      </c>
      <c r="AP39" s="89">
        <f>DCFS!AP7</f>
        <v>0</v>
      </c>
      <c r="AQ39" s="89">
        <f>DCFS!AQ7</f>
        <v>0</v>
      </c>
      <c r="AR39" s="89">
        <f>DCFS!AR7</f>
        <v>0</v>
      </c>
      <c r="AS39" s="89">
        <f>DCFS!AS7</f>
        <v>0</v>
      </c>
      <c r="AT39" s="89">
        <f>DCFS!AT7</f>
        <v>0</v>
      </c>
      <c r="AU39" s="89">
        <f>DCFS!AU7</f>
        <v>0</v>
      </c>
      <c r="AV39" s="87">
        <f t="shared" si="17"/>
        <v>889249.82000000007</v>
      </c>
      <c r="AW39" s="87">
        <f t="shared" si="18"/>
        <v>0</v>
      </c>
      <c r="AX39" s="83" t="str">
        <f>DCFS!AX7</f>
        <v>On track</v>
      </c>
      <c r="AY39" s="104" t="str">
        <f>DCFS!AY7</f>
        <v>This project funds a portion of the contract with Magellan, which is a care management entity  to support intensive care coordination for youth that have been relinquished by their parents due to the intensity of their needs, those at extremely high risk of relinquishment, and those living in emergency shelters or temporary foster and alternative living arrangements. Projections based on the adjusted monthly flat fee of the Magellan contract of $200,000 per month from January 2026 to April 2026 with final drawdown in May 2026.</v>
      </c>
    </row>
    <row r="40" spans="1:51" ht="29.85" customHeight="1" x14ac:dyDescent="0.25">
      <c r="A40" s="62" t="s">
        <v>128</v>
      </c>
      <c r="B40" s="62" t="s">
        <v>129</v>
      </c>
      <c r="C40" s="73" t="s">
        <v>140</v>
      </c>
      <c r="D40" s="63" t="s">
        <v>136</v>
      </c>
      <c r="E40" s="10" t="s">
        <v>46</v>
      </c>
      <c r="F40" s="66" t="s">
        <v>141</v>
      </c>
      <c r="G40" s="12">
        <v>44791</v>
      </c>
      <c r="H40" s="12">
        <v>46387</v>
      </c>
      <c r="I40" s="42" t="s">
        <v>142</v>
      </c>
      <c r="J40" s="30" t="s">
        <v>143</v>
      </c>
      <c r="K40" s="13">
        <v>31</v>
      </c>
      <c r="L40" s="15">
        <f>1430349+31036</f>
        <v>1461385</v>
      </c>
      <c r="M40" s="19"/>
      <c r="N40" s="14"/>
      <c r="O40" s="14">
        <f t="shared" si="20"/>
        <v>1461385</v>
      </c>
      <c r="P40" s="14"/>
      <c r="Q40" s="14"/>
      <c r="R40" s="14"/>
      <c r="S40" s="14"/>
      <c r="T40" s="14"/>
      <c r="U40" s="14"/>
      <c r="V40" s="19">
        <f t="shared" si="19"/>
        <v>0</v>
      </c>
      <c r="W40" s="15">
        <f t="shared" si="14"/>
        <v>1461385</v>
      </c>
      <c r="X40" s="8"/>
      <c r="Y40" s="8"/>
      <c r="Z40" s="8"/>
      <c r="AA40" s="8">
        <v>457171.37</v>
      </c>
      <c r="AB40" s="8">
        <v>834673.11</v>
      </c>
      <c r="AC40" s="8">
        <v>144000</v>
      </c>
      <c r="AD40" s="8"/>
      <c r="AE40" s="14">
        <f t="shared" si="21"/>
        <v>1435844.48</v>
      </c>
      <c r="AF40" s="15">
        <f t="shared" si="15"/>
        <v>25540.520000000019</v>
      </c>
      <c r="AG40" s="46">
        <f t="shared" si="16"/>
        <v>0.98252307229101155</v>
      </c>
      <c r="AH40" s="89" t="str">
        <f>DCFS!AH8</f>
        <v>N/A</v>
      </c>
      <c r="AI40" s="89">
        <f>DCFS!AI8</f>
        <v>4364.83</v>
      </c>
      <c r="AJ40" s="89">
        <f>DCFS!AJ8</f>
        <v>4364.83</v>
      </c>
      <c r="AK40" s="89">
        <f>DCFS!AK8</f>
        <v>4364.83</v>
      </c>
      <c r="AL40" s="89">
        <f>DCFS!AL8</f>
        <v>4364.83</v>
      </c>
      <c r="AM40" s="89">
        <f>DCFS!AM8</f>
        <v>4364.83</v>
      </c>
      <c r="AN40" s="89">
        <f>DCFS!AN8</f>
        <v>3716.37</v>
      </c>
      <c r="AO40" s="89">
        <f>DCFS!AO8</f>
        <v>0</v>
      </c>
      <c r="AP40" s="89">
        <f>DCFS!AP8</f>
        <v>0</v>
      </c>
      <c r="AQ40" s="89">
        <f>DCFS!AQ8</f>
        <v>0</v>
      </c>
      <c r="AR40" s="89">
        <f>DCFS!AR8</f>
        <v>0</v>
      </c>
      <c r="AS40" s="89">
        <f>DCFS!AS8</f>
        <v>0</v>
      </c>
      <c r="AT40" s="89">
        <f>DCFS!AT8</f>
        <v>0</v>
      </c>
      <c r="AU40" s="89">
        <f>DCFS!AU8</f>
        <v>0</v>
      </c>
      <c r="AV40" s="87">
        <f t="shared" si="17"/>
        <v>25540.52</v>
      </c>
      <c r="AW40" s="87">
        <f t="shared" si="18"/>
        <v>0</v>
      </c>
      <c r="AX40" s="83" t="str">
        <f>DCFS!AX8</f>
        <v>On track</v>
      </c>
      <c r="AY40" s="104" t="str">
        <f>DCFS!AY8</f>
        <v>This project funds a portion of the contract with Magellan, which is a care management entity  to support intensive care coordination for youth that have been relinquished by their parents due to the intensity of their needs, those at extremely high risk of relinquishment, and those living in emergency shelters or temporary foster and alternative living arrangements. Projections based on average drawdown from previous months.</v>
      </c>
    </row>
    <row r="41" spans="1:51" ht="35.1" customHeight="1" x14ac:dyDescent="0.25">
      <c r="A41" s="62" t="s">
        <v>128</v>
      </c>
      <c r="B41" s="62" t="s">
        <v>129</v>
      </c>
      <c r="C41" s="72" t="s">
        <v>144</v>
      </c>
      <c r="D41" s="63" t="s">
        <v>136</v>
      </c>
      <c r="E41" s="10" t="s">
        <v>46</v>
      </c>
      <c r="F41" s="66" t="s">
        <v>145</v>
      </c>
      <c r="G41" s="12">
        <v>44791</v>
      </c>
      <c r="H41" s="12">
        <v>46387</v>
      </c>
      <c r="I41" s="42" t="s">
        <v>146</v>
      </c>
      <c r="J41" s="30">
        <v>42</v>
      </c>
      <c r="K41" s="13">
        <v>31</v>
      </c>
      <c r="L41" s="15">
        <v>977346</v>
      </c>
      <c r="M41" s="14"/>
      <c r="N41" s="14">
        <v>980629</v>
      </c>
      <c r="O41" s="14">
        <f t="shared" si="20"/>
        <v>1957975</v>
      </c>
      <c r="P41" s="14"/>
      <c r="Q41" s="14"/>
      <c r="R41" s="14">
        <v>49755</v>
      </c>
      <c r="S41" s="14"/>
      <c r="T41" s="14"/>
      <c r="U41" s="14"/>
      <c r="V41" s="14">
        <f t="shared" si="19"/>
        <v>49755</v>
      </c>
      <c r="W41" s="15">
        <f t="shared" si="14"/>
        <v>1908220</v>
      </c>
      <c r="X41" s="8"/>
      <c r="Y41" s="8"/>
      <c r="Z41" s="8">
        <v>113037.70999999999</v>
      </c>
      <c r="AA41" s="8">
        <v>618345.64</v>
      </c>
      <c r="AB41" s="8">
        <v>719912.25</v>
      </c>
      <c r="AC41" s="8">
        <v>249033.75</v>
      </c>
      <c r="AD41" s="8"/>
      <c r="AE41" s="14">
        <f t="shared" si="21"/>
        <v>1700329.35</v>
      </c>
      <c r="AF41" s="15">
        <f t="shared" si="15"/>
        <v>207890.64999999991</v>
      </c>
      <c r="AG41" s="46">
        <f t="shared" si="16"/>
        <v>0.89105519803796218</v>
      </c>
      <c r="AH41" s="89" t="str">
        <f>DCFS!AH9</f>
        <v>N/A</v>
      </c>
      <c r="AI41" s="89">
        <f>DCFS!AI9</f>
        <v>50000</v>
      </c>
      <c r="AJ41" s="89">
        <f>DCFS!AJ9</f>
        <v>50000</v>
      </c>
      <c r="AK41" s="89">
        <f>DCFS!AK9</f>
        <v>50000</v>
      </c>
      <c r="AL41" s="89">
        <f>DCFS!AL9</f>
        <v>50000</v>
      </c>
      <c r="AM41" s="89">
        <f>DCFS!AM9</f>
        <v>7890.65</v>
      </c>
      <c r="AN41" s="89">
        <f>DCFS!AN9</f>
        <v>0</v>
      </c>
      <c r="AO41" s="89">
        <f>DCFS!AO9</f>
        <v>0</v>
      </c>
      <c r="AP41" s="89">
        <f>DCFS!AP9</f>
        <v>0</v>
      </c>
      <c r="AQ41" s="89">
        <f>DCFS!AQ9</f>
        <v>0</v>
      </c>
      <c r="AR41" s="89">
        <f>DCFS!AR9</f>
        <v>0</v>
      </c>
      <c r="AS41" s="89">
        <f>DCFS!AS9</f>
        <v>0</v>
      </c>
      <c r="AT41" s="89">
        <f>DCFS!AT9</f>
        <v>0</v>
      </c>
      <c r="AU41" s="89">
        <f>DCFS!AU9</f>
        <v>0</v>
      </c>
      <c r="AV41" s="87">
        <f t="shared" si="17"/>
        <v>207890.65</v>
      </c>
      <c r="AW41" s="87">
        <f t="shared" si="18"/>
        <v>0</v>
      </c>
      <c r="AX41" s="83" t="str">
        <f>DCFS!AX9</f>
        <v>On track</v>
      </c>
      <c r="AY41" s="104" t="str">
        <f>DCFS!AY9</f>
        <v>This project funds NV PEP, Inc to provide Family Peer to Peer Support Services to children with sever emotional disabilities and their families. This project is projected to be fully expended by May 2026. The amounts projected each month are based on current spending trends.</v>
      </c>
    </row>
    <row r="42" spans="1:51" ht="23.1" customHeight="1" x14ac:dyDescent="0.25">
      <c r="A42" s="62" t="s">
        <v>128</v>
      </c>
      <c r="B42" s="62" t="s">
        <v>129</v>
      </c>
      <c r="C42" s="72" t="s">
        <v>147</v>
      </c>
      <c r="D42" s="63" t="s">
        <v>136</v>
      </c>
      <c r="E42" s="10" t="s">
        <v>46</v>
      </c>
      <c r="F42" s="66" t="s">
        <v>148</v>
      </c>
      <c r="G42" s="12">
        <v>44854</v>
      </c>
      <c r="H42" s="12">
        <v>46387</v>
      </c>
      <c r="I42" s="42" t="s">
        <v>146</v>
      </c>
      <c r="J42" s="30" t="s">
        <v>149</v>
      </c>
      <c r="K42" s="13">
        <v>31</v>
      </c>
      <c r="L42" s="15">
        <f>2431165</f>
        <v>2431165</v>
      </c>
      <c r="M42" s="19">
        <v>91031</v>
      </c>
      <c r="N42" s="14">
        <f>2474401</f>
        <v>2474401</v>
      </c>
      <c r="O42" s="14">
        <f t="shared" si="20"/>
        <v>4996597</v>
      </c>
      <c r="P42" s="27"/>
      <c r="Q42" s="27"/>
      <c r="R42" s="27">
        <f>61165+58897</f>
        <v>120062</v>
      </c>
      <c r="S42" s="19">
        <v>1250000</v>
      </c>
      <c r="T42" s="14"/>
      <c r="U42" s="14"/>
      <c r="V42" s="19">
        <f t="shared" si="19"/>
        <v>1370062</v>
      </c>
      <c r="W42" s="15">
        <f t="shared" si="14"/>
        <v>3626535</v>
      </c>
      <c r="X42" s="8"/>
      <c r="Y42" s="8"/>
      <c r="Z42" s="8">
        <v>0</v>
      </c>
      <c r="AA42" s="8">
        <v>825501.65</v>
      </c>
      <c r="AB42" s="8">
        <v>1483975.81</v>
      </c>
      <c r="AC42" s="8">
        <v>252000</v>
      </c>
      <c r="AD42" s="8"/>
      <c r="AE42" s="14">
        <f t="shared" si="21"/>
        <v>2561477.46</v>
      </c>
      <c r="AF42" s="15">
        <f t="shared" si="15"/>
        <v>1065057.54</v>
      </c>
      <c r="AG42" s="46">
        <f t="shared" si="16"/>
        <v>0.70631538369269842</v>
      </c>
      <c r="AH42" s="89" t="str">
        <f>DCFS!AH10</f>
        <v>N/A</v>
      </c>
      <c r="AI42" s="89">
        <f>DCFS!AI10</f>
        <v>95000</v>
      </c>
      <c r="AJ42" s="89">
        <f>DCFS!AJ10</f>
        <v>95000</v>
      </c>
      <c r="AK42" s="89">
        <f>DCFS!AK10</f>
        <v>95000</v>
      </c>
      <c r="AL42" s="89">
        <f>DCFS!AL10</f>
        <v>95000</v>
      </c>
      <c r="AM42" s="89">
        <f>DCFS!AM10</f>
        <v>95000</v>
      </c>
      <c r="AN42" s="89">
        <f>DCFS!AN10</f>
        <v>95000</v>
      </c>
      <c r="AO42" s="89">
        <f>DCFS!AO10</f>
        <v>95000</v>
      </c>
      <c r="AP42" s="89">
        <f>DCFS!AP10</f>
        <v>95000</v>
      </c>
      <c r="AQ42" s="89">
        <f>DCFS!AQ10</f>
        <v>95000</v>
      </c>
      <c r="AR42" s="89">
        <f>DCFS!AR10</f>
        <v>95000</v>
      </c>
      <c r="AS42" s="89">
        <f>DCFS!AS10</f>
        <v>95000</v>
      </c>
      <c r="AT42" s="89">
        <f>DCFS!AT10</f>
        <v>20057.54</v>
      </c>
      <c r="AU42" s="89">
        <f>DCFS!AU10</f>
        <v>0</v>
      </c>
      <c r="AV42" s="87">
        <f t="shared" si="17"/>
        <v>1065057.54</v>
      </c>
      <c r="AW42" s="87">
        <f t="shared" si="18"/>
        <v>0</v>
      </c>
      <c r="AX42" s="83" t="str">
        <f>DCFS!AX10</f>
        <v>On track</v>
      </c>
      <c r="AY42" s="104" t="str">
        <f>DCFS!AY10</f>
        <v>This project funds a portion of the contract with Magellan, which is a care management entity  to support intensive care coordination for youth that have been relinquished by their parents due to the intensity of their needs, those at extremely high risk of relinquishment, and those living in emergency shelters or temporary foster and alternative living arrangements. In consultation with Nevada Medicaid, DCFS and Magellan, the amount of $1,250,000 was de-obligated through WP 26FRF3146 at the October IFC due to projections. Projections based on the average monthly invoices of $95,000 with completion in December 2026.</v>
      </c>
    </row>
    <row r="43" spans="1:51" ht="23.85" customHeight="1" x14ac:dyDescent="0.25">
      <c r="A43" s="62" t="s">
        <v>128</v>
      </c>
      <c r="B43" s="62" t="s">
        <v>129</v>
      </c>
      <c r="C43" s="72" t="s">
        <v>150</v>
      </c>
      <c r="D43" s="63" t="s">
        <v>136</v>
      </c>
      <c r="E43" s="10" t="s">
        <v>46</v>
      </c>
      <c r="F43" s="67" t="s">
        <v>151</v>
      </c>
      <c r="G43" s="12">
        <v>44910</v>
      </c>
      <c r="H43" s="12">
        <v>46203</v>
      </c>
      <c r="I43" s="42">
        <v>3145</v>
      </c>
      <c r="J43" s="30">
        <v>68</v>
      </c>
      <c r="K43" s="13">
        <v>23</v>
      </c>
      <c r="L43" s="15">
        <v>7022777</v>
      </c>
      <c r="M43" s="19"/>
      <c r="N43" s="14"/>
      <c r="O43" s="14">
        <f t="shared" si="20"/>
        <v>7022777</v>
      </c>
      <c r="P43" s="27"/>
      <c r="Q43" s="27">
        <v>401607</v>
      </c>
      <c r="R43" s="27"/>
      <c r="S43" s="19"/>
      <c r="T43" s="14"/>
      <c r="U43" s="14"/>
      <c r="V43" s="19">
        <f t="shared" si="19"/>
        <v>401607</v>
      </c>
      <c r="W43" s="15">
        <f t="shared" si="14"/>
        <v>6621170</v>
      </c>
      <c r="X43" s="8"/>
      <c r="Y43" s="8"/>
      <c r="Z43" s="8">
        <v>0</v>
      </c>
      <c r="AA43" s="8">
        <v>196177.75</v>
      </c>
      <c r="AB43" s="8">
        <v>644440</v>
      </c>
      <c r="AC43" s="8">
        <v>21383.370000000003</v>
      </c>
      <c r="AD43" s="8"/>
      <c r="AE43" s="14">
        <f t="shared" si="21"/>
        <v>862001.12</v>
      </c>
      <c r="AF43" s="15">
        <f t="shared" si="15"/>
        <v>5759168.8799999999</v>
      </c>
      <c r="AG43" s="46">
        <f t="shared" si="16"/>
        <v>0.13018864037624769</v>
      </c>
      <c r="AH43" s="89">
        <f>DCFS!AH11</f>
        <v>1840867.34</v>
      </c>
      <c r="AI43" s="89">
        <f>DCFS!AI11</f>
        <v>260000</v>
      </c>
      <c r="AJ43" s="89">
        <f>DCFS!AJ11</f>
        <v>260000</v>
      </c>
      <c r="AK43" s="89">
        <f>DCFS!AK11</f>
        <v>260000</v>
      </c>
      <c r="AL43" s="89">
        <f>DCFS!AL11</f>
        <v>425000</v>
      </c>
      <c r="AM43" s="89">
        <f>DCFS!AM11</f>
        <v>450000</v>
      </c>
      <c r="AN43" s="89">
        <f>DCFS!AN11</f>
        <v>450000</v>
      </c>
      <c r="AO43" s="89">
        <f>DCFS!AO11</f>
        <v>450000</v>
      </c>
      <c r="AP43" s="89">
        <f>DCFS!AP11</f>
        <v>450000</v>
      </c>
      <c r="AQ43" s="89">
        <f>DCFS!AQ11</f>
        <v>450000</v>
      </c>
      <c r="AR43" s="89">
        <f>DCFS!AR11</f>
        <v>463301.54</v>
      </c>
      <c r="AS43" s="89">
        <f>DCFS!AS11</f>
        <v>0</v>
      </c>
      <c r="AT43" s="89">
        <f>DCFS!AT11</f>
        <v>0</v>
      </c>
      <c r="AU43" s="89">
        <f>DCFS!AU11</f>
        <v>0</v>
      </c>
      <c r="AV43" s="87">
        <f t="shared" si="17"/>
        <v>5759168.8799999999</v>
      </c>
      <c r="AW43" s="87">
        <f t="shared" si="18"/>
        <v>0</v>
      </c>
      <c r="AX43" s="83" t="str">
        <f>DCFS!AX11</f>
        <v>On track</v>
      </c>
      <c r="AY43" s="104" t="str">
        <f>DCFS!AY11</f>
        <v>The Resiliency and Justice Center has multiple funding sources and includes funding from DCFS, Clark County and GFO funding. Funds are being spent based on priority on when the funds expire.  Senate Bill 341 of the 2023 Legislative Session provided $4m in funding for this project that was to be expended by June 30, 2025. Grant funds from Clark County of $2m are to be expended by 12/31/25 – Legal Aid is billing to that project until those funds are expended.
This construction project has multiple funding sources that have varying deadlines for funds to be expended: ARPA funds of $6.5m from DCFS and $2m from GFO – these funds are available until 12/31/26 and are anticipated to be fully expended by October 2026– these amounts are projected and will vary from month to month based on work completed and invoiced by vendors.</v>
      </c>
    </row>
    <row r="44" spans="1:51" ht="30" customHeight="1" x14ac:dyDescent="0.25">
      <c r="A44" s="62" t="s">
        <v>128</v>
      </c>
      <c r="B44" s="62" t="s">
        <v>129</v>
      </c>
      <c r="C44" s="71" t="s">
        <v>152</v>
      </c>
      <c r="D44" s="63" t="s">
        <v>136</v>
      </c>
      <c r="E44" s="10" t="s">
        <v>46</v>
      </c>
      <c r="F44" s="66" t="s">
        <v>153</v>
      </c>
      <c r="G44" s="12">
        <v>44854</v>
      </c>
      <c r="H44" s="12">
        <v>46295</v>
      </c>
      <c r="I44" s="42">
        <v>3145</v>
      </c>
      <c r="J44" s="30">
        <v>66</v>
      </c>
      <c r="K44" s="13">
        <v>23</v>
      </c>
      <c r="L44" s="15">
        <v>6000000</v>
      </c>
      <c r="M44" s="19"/>
      <c r="N44" s="14"/>
      <c r="O44" s="14">
        <f t="shared" si="20"/>
        <v>6000000</v>
      </c>
      <c r="P44" s="14">
        <v>0</v>
      </c>
      <c r="Q44" s="14"/>
      <c r="R44" s="14"/>
      <c r="S44" s="14"/>
      <c r="T44" s="14"/>
      <c r="U44" s="14"/>
      <c r="V44" s="19">
        <f t="shared" si="19"/>
        <v>0</v>
      </c>
      <c r="W44" s="15">
        <f t="shared" si="14"/>
        <v>6000000</v>
      </c>
      <c r="X44" s="8"/>
      <c r="Y44" s="8"/>
      <c r="Z44" s="8">
        <v>1189702.67</v>
      </c>
      <c r="AA44" s="8">
        <v>2364177.0499999998</v>
      </c>
      <c r="AB44" s="8">
        <v>390185.8</v>
      </c>
      <c r="AC44" s="8">
        <v>1564020.8</v>
      </c>
      <c r="AD44" s="8"/>
      <c r="AE44" s="14">
        <v>5508086.3199999994</v>
      </c>
      <c r="AF44" s="15">
        <f t="shared" si="15"/>
        <v>491913.68000000063</v>
      </c>
      <c r="AG44" s="46">
        <f t="shared" si="16"/>
        <v>0.91801438666666657</v>
      </c>
      <c r="AH44" s="89" t="str">
        <f>DCFS!AH12</f>
        <v>N/A</v>
      </c>
      <c r="AI44" s="89">
        <f>DCFS!AI12</f>
        <v>0</v>
      </c>
      <c r="AJ44" s="89">
        <f>DCFS!AJ12</f>
        <v>0</v>
      </c>
      <c r="AK44" s="89">
        <f>DCFS!AK12</f>
        <v>196166.15</v>
      </c>
      <c r="AL44" s="89">
        <f>DCFS!AL12</f>
        <v>0</v>
      </c>
      <c r="AM44" s="89">
        <f>DCFS!AM12</f>
        <v>0</v>
      </c>
      <c r="AN44" s="89">
        <f>DCFS!AN12</f>
        <v>104098.97</v>
      </c>
      <c r="AO44" s="89">
        <f>DCFS!AO12</f>
        <v>0</v>
      </c>
      <c r="AP44" s="89">
        <f>DCFS!AP12</f>
        <v>0</v>
      </c>
      <c r="AQ44" s="89">
        <f>DCFS!AQ12</f>
        <v>191648.57</v>
      </c>
      <c r="AR44" s="89">
        <f>DCFS!AR12</f>
        <v>0</v>
      </c>
      <c r="AS44" s="89">
        <f>DCFS!AS12</f>
        <v>0</v>
      </c>
      <c r="AT44" s="89">
        <f>DCFS!AT12</f>
        <v>0</v>
      </c>
      <c r="AU44" s="89">
        <f>DCFS!AU12</f>
        <v>0</v>
      </c>
      <c r="AV44" s="87">
        <f t="shared" si="17"/>
        <v>491913.69</v>
      </c>
      <c r="AW44" s="87">
        <f t="shared" si="18"/>
        <v>9.9999993690289557E-3</v>
      </c>
      <c r="AX44" s="83" t="str">
        <f>DCFS!AX12</f>
        <v>On track</v>
      </c>
      <c r="AY44" s="104" t="str">
        <f>DCFS!AY12</f>
        <v xml:space="preserve">DCFS staff are in contact with UNR's grant staff to ensure billing is up to date. Currently, UNR has the current cohort of 46 students enrolled for Spring 26, 32 students for Summer 2026 and 30 students for Fall 2026. In addition, UNR will be awarding scholarships to 40-60 additional students between Fall 2025-Fall 2026 semesters. Projections are based on scholarship support for APRN students by semester. </v>
      </c>
    </row>
    <row r="45" spans="1:51" ht="127.5" x14ac:dyDescent="0.25">
      <c r="A45" s="62" t="s">
        <v>128</v>
      </c>
      <c r="B45" s="62" t="s">
        <v>129</v>
      </c>
      <c r="C45" s="71" t="s">
        <v>154</v>
      </c>
      <c r="D45" s="63" t="s">
        <v>136</v>
      </c>
      <c r="E45" s="10" t="s">
        <v>46</v>
      </c>
      <c r="F45" s="66" t="s">
        <v>155</v>
      </c>
      <c r="G45" s="12">
        <v>45474</v>
      </c>
      <c r="H45" s="12">
        <v>46446</v>
      </c>
      <c r="I45" s="42">
        <v>3145</v>
      </c>
      <c r="J45" s="42" t="s">
        <v>156</v>
      </c>
      <c r="K45" s="13">
        <v>31</v>
      </c>
      <c r="L45" s="28">
        <v>1014987</v>
      </c>
      <c r="M45" s="19"/>
      <c r="N45" s="22">
        <v>232771</v>
      </c>
      <c r="O45" s="22">
        <f t="shared" si="20"/>
        <v>1247758</v>
      </c>
      <c r="P45" s="9"/>
      <c r="Q45" s="22"/>
      <c r="R45" s="22"/>
      <c r="S45" s="22"/>
      <c r="T45" s="29"/>
      <c r="U45" s="22"/>
      <c r="V45" s="19">
        <f t="shared" si="19"/>
        <v>0</v>
      </c>
      <c r="W45" s="25">
        <f t="shared" si="14"/>
        <v>1247758</v>
      </c>
      <c r="X45" s="8"/>
      <c r="Y45" s="8"/>
      <c r="Z45" s="8"/>
      <c r="AA45" s="8"/>
      <c r="AB45" s="8">
        <v>599640.63</v>
      </c>
      <c r="AC45" s="8">
        <v>5813.28</v>
      </c>
      <c r="AD45" s="8"/>
      <c r="AE45" s="22">
        <f t="shared" ref="AE45:AE50" si="22">SUM(X45:AD45)</f>
        <v>605453.91</v>
      </c>
      <c r="AF45" s="25">
        <f t="shared" si="15"/>
        <v>642304.09</v>
      </c>
      <c r="AG45" s="46">
        <f t="shared" si="16"/>
        <v>0.48523344270283181</v>
      </c>
      <c r="AH45" s="89" t="str">
        <f>DCFS!AH13</f>
        <v>N/A</v>
      </c>
      <c r="AI45" s="89">
        <f>DCFS!AI13</f>
        <v>5000</v>
      </c>
      <c r="AJ45" s="89">
        <f>DCFS!AJ13</f>
        <v>594186.72</v>
      </c>
      <c r="AK45" s="89">
        <f>DCFS!AK13</f>
        <v>5000</v>
      </c>
      <c r="AL45" s="89">
        <f>DCFS!AL13</f>
        <v>5000</v>
      </c>
      <c r="AM45" s="89">
        <f>DCFS!AM13</f>
        <v>5000</v>
      </c>
      <c r="AN45" s="89">
        <f>DCFS!AN13</f>
        <v>5000</v>
      </c>
      <c r="AO45" s="89">
        <f>DCFS!AO13</f>
        <v>5000</v>
      </c>
      <c r="AP45" s="89">
        <f>DCFS!AP13</f>
        <v>5000</v>
      </c>
      <c r="AQ45" s="89">
        <f>DCFS!AQ13</f>
        <v>5000</v>
      </c>
      <c r="AR45" s="89">
        <f>DCFS!AR13</f>
        <v>4000</v>
      </c>
      <c r="AS45" s="89">
        <f>DCFS!AS13</f>
        <v>4117.37</v>
      </c>
      <c r="AT45" s="89">
        <f>DCFS!AT13</f>
        <v>0</v>
      </c>
      <c r="AU45" s="89">
        <f>DCFS!AU13</f>
        <v>0</v>
      </c>
      <c r="AV45" s="87">
        <f t="shared" si="17"/>
        <v>642304.09</v>
      </c>
      <c r="AW45" s="87">
        <f t="shared" si="18"/>
        <v>0</v>
      </c>
      <c r="AX45" s="83" t="str">
        <f>DCFS!AX13</f>
        <v>On track</v>
      </c>
      <c r="AY45" s="104" t="str">
        <f>DCFS!AY13</f>
        <v xml:space="preserve">This project oversees ARPA projects to provide support in the areas of fiscal, reporting, subrecipient monitoring, grants management, contract management and human resources to comply with federal and state regulations. The amounts projected each month are based on current spending trends. Work program 26FRF31453 was approved to balance forward the ARPA funding from SFY25 to SFY26. A Request for Reimbursement for $339,151 in staff salaries is included in the projection for February 2026. </v>
      </c>
    </row>
    <row r="46" spans="1:51" ht="30" customHeight="1" x14ac:dyDescent="0.25">
      <c r="A46" s="62" t="s">
        <v>128</v>
      </c>
      <c r="B46" s="62" t="s">
        <v>129</v>
      </c>
      <c r="C46" s="71" t="s">
        <v>157</v>
      </c>
      <c r="D46" s="63" t="s">
        <v>136</v>
      </c>
      <c r="E46" s="10" t="s">
        <v>46</v>
      </c>
      <c r="F46" s="66" t="s">
        <v>158</v>
      </c>
      <c r="G46" s="12">
        <v>45474</v>
      </c>
      <c r="H46" s="12">
        <v>46446</v>
      </c>
      <c r="I46" s="42">
        <v>3146</v>
      </c>
      <c r="J46" s="42" t="s">
        <v>156</v>
      </c>
      <c r="K46" s="13">
        <v>31</v>
      </c>
      <c r="L46" s="28">
        <v>1499500</v>
      </c>
      <c r="M46" s="19"/>
      <c r="N46" s="22"/>
      <c r="O46" s="22">
        <f t="shared" si="20"/>
        <v>1499500</v>
      </c>
      <c r="P46" s="9"/>
      <c r="Q46" s="22"/>
      <c r="R46" s="22"/>
      <c r="S46" s="22">
        <v>232771</v>
      </c>
      <c r="T46" s="9"/>
      <c r="U46" s="22"/>
      <c r="V46" s="19">
        <f t="shared" si="19"/>
        <v>232771</v>
      </c>
      <c r="W46" s="25">
        <f t="shared" si="14"/>
        <v>1266729</v>
      </c>
      <c r="X46" s="8"/>
      <c r="Y46" s="8"/>
      <c r="Z46" s="8"/>
      <c r="AA46" s="8"/>
      <c r="AB46" s="8">
        <v>1041847.1699999999</v>
      </c>
      <c r="AC46" s="8">
        <v>141408.89000000001</v>
      </c>
      <c r="AD46" s="8"/>
      <c r="AE46" s="22">
        <f t="shared" si="22"/>
        <v>1183256.06</v>
      </c>
      <c r="AF46" s="25">
        <f t="shared" si="15"/>
        <v>83472.939999999944</v>
      </c>
      <c r="AG46" s="46">
        <f t="shared" si="16"/>
        <v>0.93410355332513906</v>
      </c>
      <c r="AH46" s="89" t="str">
        <f>DCFS!AH14</f>
        <v>N/A</v>
      </c>
      <c r="AI46" s="89">
        <f>DCFS!AI14</f>
        <v>12681.85</v>
      </c>
      <c r="AJ46" s="89">
        <f>DCFS!AJ14</f>
        <v>12681.85</v>
      </c>
      <c r="AK46" s="89">
        <f>DCFS!AK14</f>
        <v>12681.85</v>
      </c>
      <c r="AL46" s="89">
        <f>DCFS!AL14</f>
        <v>12681.85</v>
      </c>
      <c r="AM46" s="89">
        <f>DCFS!AM14</f>
        <v>12681.85</v>
      </c>
      <c r="AN46" s="89">
        <f>DCFS!AN14</f>
        <v>12681.85</v>
      </c>
      <c r="AO46" s="89">
        <f>DCFS!AO14</f>
        <v>7381.84</v>
      </c>
      <c r="AP46" s="89">
        <f>DCFS!AP14</f>
        <v>0</v>
      </c>
      <c r="AQ46" s="89">
        <f>DCFS!AQ14</f>
        <v>0</v>
      </c>
      <c r="AR46" s="89">
        <f>DCFS!AR14</f>
        <v>0</v>
      </c>
      <c r="AS46" s="89">
        <f>DCFS!AS14</f>
        <v>0</v>
      </c>
      <c r="AT46" s="89">
        <f>DCFS!AT14</f>
        <v>0</v>
      </c>
      <c r="AU46" s="89">
        <f>DCFS!AU14</f>
        <v>0</v>
      </c>
      <c r="AV46" s="87">
        <f t="shared" si="17"/>
        <v>83472.94</v>
      </c>
      <c r="AW46" s="87">
        <f t="shared" si="18"/>
        <v>0</v>
      </c>
      <c r="AX46" s="83" t="str">
        <f>DCFS!AX14</f>
        <v>On track</v>
      </c>
      <c r="AY46" s="104" t="str">
        <f>DCFS!AY14</f>
        <v>This project supports contractors to provide children's behavioral health support for the division.  The amounts projected each month are based on current spending trends.</v>
      </c>
    </row>
    <row r="47" spans="1:51" ht="30" customHeight="1" x14ac:dyDescent="0.25">
      <c r="A47" s="62" t="s">
        <v>128</v>
      </c>
      <c r="B47" s="62" t="s">
        <v>129</v>
      </c>
      <c r="C47" s="72" t="s">
        <v>159</v>
      </c>
      <c r="D47" s="63" t="s">
        <v>136</v>
      </c>
      <c r="E47" s="10" t="s">
        <v>46</v>
      </c>
      <c r="F47" s="66" t="s">
        <v>160</v>
      </c>
      <c r="G47" s="12">
        <v>44855</v>
      </c>
      <c r="H47" s="12">
        <v>46387</v>
      </c>
      <c r="I47" s="42">
        <v>3143</v>
      </c>
      <c r="J47" s="30">
        <v>41</v>
      </c>
      <c r="K47" s="13">
        <v>24</v>
      </c>
      <c r="L47" s="15">
        <v>18370000</v>
      </c>
      <c r="M47" s="14"/>
      <c r="N47" s="14"/>
      <c r="O47" s="14">
        <f t="shared" si="20"/>
        <v>18370000</v>
      </c>
      <c r="P47" s="14"/>
      <c r="Q47" s="14"/>
      <c r="R47" s="14"/>
      <c r="S47" s="14"/>
      <c r="T47" s="14"/>
      <c r="U47" s="14"/>
      <c r="V47" s="14">
        <f t="shared" si="19"/>
        <v>0</v>
      </c>
      <c r="W47" s="15">
        <f t="shared" si="14"/>
        <v>18370000</v>
      </c>
      <c r="X47" s="8"/>
      <c r="Y47" s="8"/>
      <c r="Z47" s="8">
        <v>8554.9500000000007</v>
      </c>
      <c r="AA47" s="8">
        <v>134739.35</v>
      </c>
      <c r="AB47" s="8">
        <v>1523983.6199999999</v>
      </c>
      <c r="AC47" s="8">
        <v>85110</v>
      </c>
      <c r="AD47" s="8"/>
      <c r="AE47" s="14">
        <f t="shared" si="22"/>
        <v>1752387.92</v>
      </c>
      <c r="AF47" s="15">
        <f t="shared" si="15"/>
        <v>16617612.08</v>
      </c>
      <c r="AG47" s="46">
        <f t="shared" si="16"/>
        <v>9.5394007621121393E-2</v>
      </c>
      <c r="AH47" s="89" t="str">
        <f>DCFS!AH15</f>
        <v>N/A</v>
      </c>
      <c r="AI47" s="89">
        <f>DCFS!AI15</f>
        <v>0</v>
      </c>
      <c r="AJ47" s="89">
        <f>DCFS!AJ15</f>
        <v>3000000</v>
      </c>
      <c r="AK47" s="89">
        <f>DCFS!AK15</f>
        <v>1400000</v>
      </c>
      <c r="AL47" s="89">
        <f>DCFS!AL15</f>
        <v>1400000</v>
      </c>
      <c r="AM47" s="89">
        <f>DCFS!AM15</f>
        <v>1400000</v>
      </c>
      <c r="AN47" s="89">
        <f>DCFS!AN15</f>
        <v>1400000</v>
      </c>
      <c r="AO47" s="89">
        <f>DCFS!AO15</f>
        <v>1400000</v>
      </c>
      <c r="AP47" s="89">
        <f>DCFS!AP15</f>
        <v>1400000</v>
      </c>
      <c r="AQ47" s="89">
        <f>DCFS!AQ15</f>
        <v>1400000</v>
      </c>
      <c r="AR47" s="89">
        <f>DCFS!AR15</f>
        <v>1400000</v>
      </c>
      <c r="AS47" s="89">
        <f>DCFS!AS15</f>
        <v>1400000</v>
      </c>
      <c r="AT47" s="89">
        <f>DCFS!AT15</f>
        <v>1017612.0800000001</v>
      </c>
      <c r="AU47" s="89">
        <f>DCFS!AU15</f>
        <v>0</v>
      </c>
      <c r="AV47" s="87">
        <f t="shared" si="17"/>
        <v>16617612.08</v>
      </c>
      <c r="AW47" s="87">
        <f t="shared" si="18"/>
        <v>0</v>
      </c>
      <c r="AX47" s="83" t="str">
        <f>DCFS!AX15</f>
        <v>Delays</v>
      </c>
      <c r="AY47" s="104" t="str">
        <f>DCFS!AY15</f>
        <v>DCFS received federal approval from the Children's Bureau on 9/16/25 to move forward with the As-Needed Advance Planning Document (APD) to procure design, develop and implement (DDI) services for a Comprehensive Child Welfare Information System (CCWIS). This approval was necessary to move forward with the Request for Proposal (RFP) to replace the existing UNITY system. DCFS has completed the procurement process and selected a vendor (Deloitte) to design, develop and implement a statewide CCWIS to replace the legacy UNITY system, which was approved at the December BOE. DCFS awaits final approval of the APD document to receive federal Title IV-E funds to complete the project. Monthly spending projections are estimated based upon the total project cost of approximately $30m being spent over an 18 month period (January 2026-June 2027). DCFS remains fully committed to expending the remaining ARPA funds by December 2026.</v>
      </c>
    </row>
    <row r="48" spans="1:51" ht="23.85" customHeight="1" x14ac:dyDescent="0.25">
      <c r="A48" s="62" t="s">
        <v>128</v>
      </c>
      <c r="B48" s="62" t="s">
        <v>129</v>
      </c>
      <c r="C48" s="72" t="s">
        <v>161</v>
      </c>
      <c r="D48" s="63" t="s">
        <v>136</v>
      </c>
      <c r="E48" s="10" t="s">
        <v>46</v>
      </c>
      <c r="F48" s="66" t="s">
        <v>162</v>
      </c>
      <c r="G48" s="12">
        <v>44791</v>
      </c>
      <c r="H48" s="12">
        <v>46387</v>
      </c>
      <c r="I48" s="42" t="s">
        <v>163</v>
      </c>
      <c r="J48" s="42" t="s">
        <v>164</v>
      </c>
      <c r="K48" s="13">
        <v>31</v>
      </c>
      <c r="L48" s="15">
        <v>7314984</v>
      </c>
      <c r="M48" s="19"/>
      <c r="N48" s="14">
        <f>7335048</f>
        <v>7335048</v>
      </c>
      <c r="O48" s="14">
        <f t="shared" si="20"/>
        <v>14650032</v>
      </c>
      <c r="P48" s="14"/>
      <c r="Q48" s="14"/>
      <c r="R48" s="14"/>
      <c r="S48" s="14">
        <f>348+5000000+1250000</f>
        <v>6250348</v>
      </c>
      <c r="T48" s="14"/>
      <c r="U48" s="14"/>
      <c r="V48" s="19">
        <f t="shared" si="19"/>
        <v>6250348</v>
      </c>
      <c r="W48" s="15">
        <f t="shared" si="14"/>
        <v>8399684</v>
      </c>
      <c r="X48" s="8"/>
      <c r="Y48" s="8"/>
      <c r="Z48" s="8"/>
      <c r="AA48" s="8">
        <v>2545174.34</v>
      </c>
      <c r="AB48" s="8">
        <v>4389270</v>
      </c>
      <c r="AC48" s="8">
        <v>756000</v>
      </c>
      <c r="AD48" s="8"/>
      <c r="AE48" s="14">
        <f t="shared" si="22"/>
        <v>7690444.3399999999</v>
      </c>
      <c r="AF48" s="15">
        <f t="shared" si="15"/>
        <v>709239.66000000015</v>
      </c>
      <c r="AG48" s="46">
        <f t="shared" si="16"/>
        <v>0.91556353072329866</v>
      </c>
      <c r="AH48" s="89" t="str">
        <f>DCFS!AH16</f>
        <v>N/A</v>
      </c>
      <c r="AI48" s="89">
        <f>DCFS!AI16</f>
        <v>12045</v>
      </c>
      <c r="AJ48" s="89">
        <f>DCFS!AJ16</f>
        <v>12045</v>
      </c>
      <c r="AK48" s="89">
        <f>DCFS!AK16</f>
        <v>12045</v>
      </c>
      <c r="AL48" s="89">
        <f>DCFS!AL16</f>
        <v>12045</v>
      </c>
      <c r="AM48" s="89">
        <f>DCFS!AM16</f>
        <v>12045</v>
      </c>
      <c r="AN48" s="89">
        <f>DCFS!AN16</f>
        <v>12049.66</v>
      </c>
      <c r="AO48" s="89">
        <f>DCFS!AO16</f>
        <v>108393</v>
      </c>
      <c r="AP48" s="89">
        <f>DCFS!AP16</f>
        <v>108393</v>
      </c>
      <c r="AQ48" s="89">
        <f>DCFS!AQ16</f>
        <v>108393</v>
      </c>
      <c r="AR48" s="89">
        <f>DCFS!AR16</f>
        <v>108393</v>
      </c>
      <c r="AS48" s="89">
        <f>DCFS!AS16</f>
        <v>108393</v>
      </c>
      <c r="AT48" s="89">
        <f>DCFS!AT16</f>
        <v>95000</v>
      </c>
      <c r="AU48" s="89">
        <f>DCFS!AU16</f>
        <v>0</v>
      </c>
      <c r="AV48" s="87">
        <f t="shared" si="17"/>
        <v>709239.66</v>
      </c>
      <c r="AW48" s="87">
        <f t="shared" si="18"/>
        <v>0</v>
      </c>
      <c r="AX48" s="83" t="str">
        <f>DCFS!AX16</f>
        <v>On track</v>
      </c>
      <c r="AY48" s="104" t="str">
        <f>DCFS!AY16</f>
        <v>This project funds a portion of the contract with Magellan, which is a care management entity  to support intensive care coordination for youth that have been relinquished by their parents due to the intensity of their needs, those at extremely high risk of relinquishment, and those living in emergency shelters or temporary foster and alternative living arrangements. In consultation with Nevada Medicaid, DCFS and Magellan, the amount of $1,250,000 was de-obligated through WP 26FRF3146 at the Nov IFC due to projections.</v>
      </c>
    </row>
    <row r="49" spans="1:51" ht="27" customHeight="1" x14ac:dyDescent="0.25">
      <c r="A49" s="62" t="s">
        <v>128</v>
      </c>
      <c r="B49" s="62" t="s">
        <v>129</v>
      </c>
      <c r="C49" s="73" t="s">
        <v>165</v>
      </c>
      <c r="D49" s="63" t="s">
        <v>136</v>
      </c>
      <c r="E49" s="10" t="s">
        <v>46</v>
      </c>
      <c r="F49" s="66" t="s">
        <v>166</v>
      </c>
      <c r="G49" s="12">
        <v>45364</v>
      </c>
      <c r="H49" s="23">
        <v>46022</v>
      </c>
      <c r="I49" s="42">
        <v>1383</v>
      </c>
      <c r="J49" s="30">
        <v>45</v>
      </c>
      <c r="K49" s="13">
        <v>24</v>
      </c>
      <c r="L49" s="25">
        <v>873360</v>
      </c>
      <c r="M49" s="14"/>
      <c r="N49" s="14"/>
      <c r="O49" s="14">
        <f t="shared" si="20"/>
        <v>873360</v>
      </c>
      <c r="P49" s="14"/>
      <c r="Q49" s="14"/>
      <c r="R49" s="14"/>
      <c r="S49" s="14"/>
      <c r="T49" s="14"/>
      <c r="U49" s="14"/>
      <c r="V49" s="14">
        <f t="shared" si="19"/>
        <v>0</v>
      </c>
      <c r="W49" s="15">
        <f t="shared" si="14"/>
        <v>873360</v>
      </c>
      <c r="X49" s="8"/>
      <c r="Y49" s="8"/>
      <c r="Z49" s="8"/>
      <c r="AA49" s="8"/>
      <c r="AB49" s="8">
        <v>667180.00999999989</v>
      </c>
      <c r="AC49" s="8">
        <v>204867.01</v>
      </c>
      <c r="AD49" s="8"/>
      <c r="AE49" s="14">
        <f t="shared" si="22"/>
        <v>872047.0199999999</v>
      </c>
      <c r="AF49" s="25">
        <f t="shared" si="15"/>
        <v>1312.9800000000978</v>
      </c>
      <c r="AG49" s="46">
        <f t="shared" si="16"/>
        <v>0.99849663369057418</v>
      </c>
      <c r="AH49" s="89" t="str">
        <f>DCFS!AH17</f>
        <v>N/A</v>
      </c>
      <c r="AI49" s="89">
        <f>DCFS!AI17</f>
        <v>0</v>
      </c>
      <c r="AJ49" s="89">
        <f>DCFS!AJ17</f>
        <v>0</v>
      </c>
      <c r="AK49" s="89">
        <f>DCFS!AK17</f>
        <v>0</v>
      </c>
      <c r="AL49" s="89">
        <f>DCFS!AL17</f>
        <v>0</v>
      </c>
      <c r="AM49" s="89">
        <f>DCFS!AM17</f>
        <v>0</v>
      </c>
      <c r="AN49" s="89">
        <f>DCFS!AN17</f>
        <v>0</v>
      </c>
      <c r="AO49" s="89">
        <f>DCFS!AO17</f>
        <v>0</v>
      </c>
      <c r="AP49" s="89">
        <f>DCFS!AP17</f>
        <v>0</v>
      </c>
      <c r="AQ49" s="89">
        <f>DCFS!AQ17</f>
        <v>0</v>
      </c>
      <c r="AR49" s="89">
        <f>DCFS!AR17</f>
        <v>0</v>
      </c>
      <c r="AS49" s="89">
        <f>DCFS!AS17</f>
        <v>0</v>
      </c>
      <c r="AT49" s="89">
        <f>DCFS!AT17</f>
        <v>0</v>
      </c>
      <c r="AU49" s="89">
        <f>DCFS!AU17</f>
        <v>0</v>
      </c>
      <c r="AV49" s="87">
        <f t="shared" si="17"/>
        <v>0</v>
      </c>
      <c r="AW49" s="87">
        <f t="shared" si="18"/>
        <v>-1312.9800000000978</v>
      </c>
      <c r="AX49" s="83" t="str">
        <f>DCFS!AX17</f>
        <v>On Track</v>
      </c>
      <c r="AY49" s="104" t="str">
        <f>DCFS!AY17</f>
        <v>Project is pending de-obligation of the remaining balance of $1,312.98</v>
      </c>
    </row>
    <row r="50" spans="1:51" ht="89.25" x14ac:dyDescent="0.25">
      <c r="A50" s="62" t="s">
        <v>128</v>
      </c>
      <c r="B50" s="62" t="s">
        <v>129</v>
      </c>
      <c r="C50" s="73" t="s">
        <v>167</v>
      </c>
      <c r="D50" s="63" t="s">
        <v>136</v>
      </c>
      <c r="E50" s="10"/>
      <c r="F50" s="66" t="s">
        <v>168</v>
      </c>
      <c r="G50" s="12">
        <v>45456</v>
      </c>
      <c r="H50" s="12">
        <v>46386</v>
      </c>
      <c r="I50" s="30">
        <v>3646</v>
      </c>
      <c r="J50" s="30">
        <v>41</v>
      </c>
      <c r="K50" s="13">
        <v>31</v>
      </c>
      <c r="L50" s="15">
        <v>3888162</v>
      </c>
      <c r="M50" s="14"/>
      <c r="N50" s="14"/>
      <c r="O50" s="14">
        <f t="shared" si="20"/>
        <v>3888162</v>
      </c>
      <c r="P50" s="14"/>
      <c r="Q50" s="14"/>
      <c r="R50" s="14"/>
      <c r="S50" s="14"/>
      <c r="T50" s="14"/>
      <c r="U50" s="14"/>
      <c r="V50" s="14">
        <f t="shared" si="19"/>
        <v>0</v>
      </c>
      <c r="W50" s="15">
        <f t="shared" si="14"/>
        <v>3888162</v>
      </c>
      <c r="X50" s="8"/>
      <c r="Y50" s="8"/>
      <c r="Z50" s="8"/>
      <c r="AA50" s="8"/>
      <c r="AB50" s="8">
        <v>83600</v>
      </c>
      <c r="AC50" s="8">
        <v>0</v>
      </c>
      <c r="AD50" s="8"/>
      <c r="AE50" s="14">
        <f t="shared" si="22"/>
        <v>83600</v>
      </c>
      <c r="AF50" s="15">
        <f t="shared" si="15"/>
        <v>3804562</v>
      </c>
      <c r="AG50" s="48">
        <f t="shared" si="16"/>
        <v>2.1501161731429914E-2</v>
      </c>
      <c r="AH50" s="89" t="str">
        <f>DCFS!AH18</f>
        <v>N/A</v>
      </c>
      <c r="AI50" s="89">
        <f>DCFS!AI18</f>
        <v>0</v>
      </c>
      <c r="AJ50" s="89">
        <f>DCFS!AJ18</f>
        <v>0</v>
      </c>
      <c r="AK50" s="89">
        <f>DCFS!AK18</f>
        <v>380456.2</v>
      </c>
      <c r="AL50" s="89">
        <f>DCFS!AL18</f>
        <v>380456.2</v>
      </c>
      <c r="AM50" s="89">
        <f>DCFS!AM18</f>
        <v>380456.2</v>
      </c>
      <c r="AN50" s="89">
        <f>DCFS!AN18</f>
        <v>380456.2</v>
      </c>
      <c r="AO50" s="89">
        <f>DCFS!AO18</f>
        <v>380456.2</v>
      </c>
      <c r="AP50" s="89">
        <f>DCFS!AP18</f>
        <v>380456.2</v>
      </c>
      <c r="AQ50" s="89">
        <f>DCFS!AQ18</f>
        <v>380456.2</v>
      </c>
      <c r="AR50" s="89">
        <f>DCFS!AR18</f>
        <v>380456.2</v>
      </c>
      <c r="AS50" s="89">
        <f>DCFS!AS18</f>
        <v>380456.2</v>
      </c>
      <c r="AT50" s="89">
        <f>DCFS!AT18</f>
        <v>380456.2</v>
      </c>
      <c r="AU50" s="89">
        <f>DCFS!AU18</f>
        <v>0</v>
      </c>
      <c r="AV50" s="87">
        <f t="shared" si="17"/>
        <v>3804562.0000000009</v>
      </c>
      <c r="AW50" s="87">
        <f t="shared" si="18"/>
        <v>0</v>
      </c>
      <c r="AX50" s="83" t="str">
        <f>DCFS!AX18</f>
        <v>On track</v>
      </c>
      <c r="AY50" s="104" t="str">
        <f>DCFS!AY18</f>
        <v>This project will build buildings on the Campus for Hope for behavioral health services.  The timeline for this project is still being worked on in the contract. The total project is $17.5M of which the ARPA funds will be used first to pay. Projections are based on the total amount of this ARPA project being evenly distributed across the performance period.   </v>
      </c>
    </row>
    <row r="51" spans="1:51" ht="15.6" customHeight="1" x14ac:dyDescent="0.25">
      <c r="A51" s="32" t="s">
        <v>217</v>
      </c>
      <c r="B51" s="32"/>
      <c r="C51" s="76"/>
      <c r="D51" s="33"/>
      <c r="E51" s="33"/>
      <c r="F51" s="68"/>
      <c r="G51" s="35"/>
      <c r="H51" s="35"/>
      <c r="I51" s="45"/>
      <c r="J51" s="45"/>
      <c r="K51" s="36"/>
      <c r="L51" s="37">
        <f t="shared" ref="L51:N51" si="23">SUM(L4:L50)</f>
        <v>325101379</v>
      </c>
      <c r="M51" s="37">
        <f t="shared" si="23"/>
        <v>3595626.21</v>
      </c>
      <c r="N51" s="37">
        <f t="shared" si="23"/>
        <v>20410553</v>
      </c>
      <c r="O51" s="37">
        <f>SUM(O4:O50)</f>
        <v>349107558.21000004</v>
      </c>
      <c r="P51" s="37">
        <f t="shared" ref="P51:AH51" si="24">SUM(P4:P50)</f>
        <v>660000</v>
      </c>
      <c r="Q51" s="37">
        <f t="shared" si="24"/>
        <v>5401607</v>
      </c>
      <c r="R51" s="37">
        <f t="shared" si="24"/>
        <v>13026445</v>
      </c>
      <c r="S51" s="37">
        <f t="shared" si="24"/>
        <v>10467738.4</v>
      </c>
      <c r="T51" s="37">
        <f t="shared" si="24"/>
        <v>0</v>
      </c>
      <c r="U51" s="37">
        <f t="shared" si="24"/>
        <v>0</v>
      </c>
      <c r="V51" s="37">
        <f t="shared" si="24"/>
        <v>29555790.399999999</v>
      </c>
      <c r="W51" s="37">
        <f t="shared" si="24"/>
        <v>319551767.81</v>
      </c>
      <c r="X51" s="37">
        <f t="shared" si="24"/>
        <v>0</v>
      </c>
      <c r="Y51" s="37">
        <f t="shared" si="24"/>
        <v>422.52</v>
      </c>
      <c r="Z51" s="37">
        <f t="shared" si="24"/>
        <v>19572558.640000004</v>
      </c>
      <c r="AA51" s="37">
        <f t="shared" si="24"/>
        <v>64110300.109999999</v>
      </c>
      <c r="AB51" s="37">
        <f t="shared" si="24"/>
        <v>86205173.999999985</v>
      </c>
      <c r="AC51" s="37">
        <f t="shared" si="24"/>
        <v>34103018.170000009</v>
      </c>
      <c r="AD51" s="37">
        <f t="shared" si="24"/>
        <v>0</v>
      </c>
      <c r="AE51" s="37">
        <f t="shared" si="24"/>
        <v>203991473.44</v>
      </c>
      <c r="AF51" s="37">
        <f t="shared" si="24"/>
        <v>115560294.37</v>
      </c>
      <c r="AG51" s="34"/>
      <c r="AH51" s="37">
        <f t="shared" si="24"/>
        <v>2759078.38</v>
      </c>
      <c r="AI51" s="37">
        <f t="shared" ref="AI51" si="25">SUM(AI4:AI50)</f>
        <v>6469211.5</v>
      </c>
      <c r="AJ51" s="37">
        <f t="shared" ref="AJ51" si="26">SUM(AJ4:AJ50)</f>
        <v>12457395.51</v>
      </c>
      <c r="AK51" s="37">
        <f t="shared" ref="AK51" si="27">SUM(AK4:AK50)</f>
        <v>10456459.52</v>
      </c>
      <c r="AL51" s="37">
        <f t="shared" ref="AL51" si="28">SUM(AL4:AL50)</f>
        <v>12127552.469999999</v>
      </c>
      <c r="AM51" s="37">
        <f t="shared" ref="AM51" si="29">SUM(AM4:AM50)</f>
        <v>11988544.33</v>
      </c>
      <c r="AN51" s="37">
        <f t="shared" ref="AN51" si="30">SUM(AN4:AN50)</f>
        <v>10877627.210000001</v>
      </c>
      <c r="AO51" s="37">
        <f t="shared" ref="AO51" si="31">SUM(AO4:AO50)</f>
        <v>8432229.4900000002</v>
      </c>
      <c r="AP51" s="37">
        <f t="shared" ref="AP51" si="32">SUM(AP4:AP50)</f>
        <v>10250663.109999999</v>
      </c>
      <c r="AQ51" s="37">
        <f t="shared" ref="AQ51" si="33">SUM(AQ4:AQ50)</f>
        <v>7952250.3200000012</v>
      </c>
      <c r="AR51" s="37">
        <f t="shared" ref="AR51" si="34">SUM(AR4:AR50)</f>
        <v>7685420.9900000002</v>
      </c>
      <c r="AS51" s="37">
        <f t="shared" ref="AS51" si="35">SUM(AS4:AS50)</f>
        <v>6912073.9399999995</v>
      </c>
      <c r="AT51" s="37">
        <f t="shared" ref="AT51" si="36">SUM(AT4:AT50)</f>
        <v>5352053.8</v>
      </c>
      <c r="AU51" s="37">
        <f t="shared" ref="AU51" si="37">SUM(AU4:AU50)</f>
        <v>0</v>
      </c>
      <c r="AV51" s="37">
        <f t="shared" ref="AV51" si="38">SUM(AV4:AV50)</f>
        <v>113720560.56999999</v>
      </c>
      <c r="AW51" s="37">
        <f t="shared" ref="AW51" si="39">SUM(AW4:AW50)</f>
        <v>-1839733.8000000021</v>
      </c>
      <c r="AX51" s="79"/>
      <c r="AY51" s="79"/>
    </row>
    <row r="52" spans="1:51" ht="15" customHeight="1" x14ac:dyDescent="0.25">
      <c r="AC52" s="31"/>
    </row>
  </sheetData>
  <sheetProtection formatCells="0" formatColumns="0" formatRows="0" insertHyperlinks="0" autoFilter="0" pivotTables="0"/>
  <autoFilter ref="A3:AY51" xr:uid="{6151D46E-D3C2-4D59-ACE3-CABFF7C76B1F}"/>
  <mergeCells count="2">
    <mergeCell ref="AE2:AF2"/>
    <mergeCell ref="AH1:AW2"/>
  </mergeCells>
  <hyperlinks>
    <hyperlink ref="C35" location="'407-24SUEBT01'!A1" display="24SUEBT01" xr:uid="{ADF32902-44A5-4A0B-9336-4E40FC8B994B}"/>
    <hyperlink ref="C30" location="'406-24JBMHP01'!A1" display="24JBMHP01" xr:uid="{EAE67394-7924-428D-86B8-9B476C9B0BC3}"/>
    <hyperlink ref="C50" location="'409-24CMH9A01'!A1" display="24CMH9A01" xr:uid="{81A53F86-25DE-4EDD-B427-0B145BC268DA}"/>
    <hyperlink ref="C49" location="'409-24CAMRP01'!A1" display="24CAMRP01" xr:uid="{5F750AB3-92AD-4E23-A856-584221293821}"/>
    <hyperlink ref="C29" location="'406-24FPROS01'!Print_Area" display="24FRPOS01" xr:uid="{BB532EA8-754A-4EE4-9903-879268D3420C}"/>
    <hyperlink ref="C31" location="'406-24SNFLT01'!Print_Area" display="24SNFLT01" xr:uid="{6205498A-9486-488B-983A-03F9044B739D}"/>
    <hyperlink ref="C22" location="'406-23HCWSS02'!Print_Area" display="23HCWSS02" xr:uid="{23ED0F0B-D3D8-4910-9A66-8CE02DA12E7F}"/>
    <hyperlink ref="C5" location="'400-23NVTRI01'!A1" display="23NVTRI01" xr:uid="{91D42341-8DD9-4577-B4CD-8D10AEA64765}"/>
    <hyperlink ref="C4" location="'400-23EIPRC01'!A1" display="23EIPRC01" xr:uid="{B39561B1-4D42-47BB-BF46-187019764139}"/>
    <hyperlink ref="C28" location="'406-23RHSCC01'!Print_Area" display="23RHSCC01" xr:uid="{A0A35847-5241-4437-89D9-117111033726}"/>
    <hyperlink ref="C32" location="'407-23ACNVM01'!Print_Area" display="23ACNVM01" xr:uid="{FE694B75-20A5-4291-A607-9AB21B435A55}"/>
    <hyperlink ref="C17" location="'406-22BHSTF01b-c'!Print_Area" display="22BHSTF01b-c" xr:uid="{69B976BD-760A-479E-98A7-549D1331E58D}"/>
    <hyperlink ref="C19" location="'406-23CSSBC01'!Print_Area" display="23CSSBC01" xr:uid="{E20EE5A8-A2D6-4FB6-B71B-FB465D7BF220}"/>
    <hyperlink ref="C16" location="'406-22BHCGM01'!Print_Area" display="22BHCGM01" xr:uid="{CA8371E7-E731-4936-A85B-2A37113AFE12}"/>
    <hyperlink ref="C25" location="'406-23LRHA01'!A1" display="23LRHA01" xr:uid="{34B283FA-48BF-45F1-8893-EFD674043207}"/>
    <hyperlink ref="C24" location="'406-23LCCMS01'!Print_Area" display="23LCCMS01" xr:uid="{CF0D4BE0-7793-4B14-AE87-A3F782993328}"/>
    <hyperlink ref="C26" location="'406-23NBSTR01'!Print_Area" display="23NBSTR01" xr:uid="{E16E2B98-D63F-44E8-9FB2-42E61A34D27C}"/>
    <hyperlink ref="C21" location="'406-23GIDTR01'!Print_Area" display="23GIDTR01" xr:uid="{8291CD61-668A-4B08-97EC-B5F589A49226}"/>
    <hyperlink ref="C18" location="'406-23CFAEP01'!Print_Area" display="23CFAEP01" xr:uid="{4EF9A07C-66D1-4EB7-81E7-136FABF9DB21}"/>
    <hyperlink ref="C27" location="'406-23RCCLV01'!Print_Area" display="23RCCLV01" xr:uid="{4CCFDA86-A1BE-4EFA-B6A3-B51886D416DC}"/>
    <hyperlink ref="C20" location="'406-23EMGCS01'!A1" display="23EMGCS01" xr:uid="{58B1F8F5-61BD-457C-B572-209A5CE69F01}"/>
    <hyperlink ref="C33" location="'407-23CHDIF01'!Print_Area" display="23CHDIF01" xr:uid="{A627727A-7B17-4042-BDF6-717F55D20D7A}"/>
    <hyperlink ref="C34" location="'407-23NOMAD01'!Print_Area" display="23NOMAD01" xr:uid="{AAC71976-3A56-4A2A-A4C8-97FB157D2E6E}"/>
    <hyperlink ref="C8" location="'402-23HCAPD01'!A1" display="23HCAPD01" xr:uid="{A860F7A1-F50F-41EB-AFDA-5D559D9C50D2}"/>
    <hyperlink ref="C9" location="'402-23INHSV01'!A1" display="23INHSV01" xr:uid="{B800B0A8-C4AC-4968-A051-5A8F062FB025}"/>
    <hyperlink ref="C11" location="'402-23RSBEX01'!A1" display="23RSBEX01" xr:uid="{67E6795D-C40D-4304-B241-7AB3E27C4419}"/>
    <hyperlink ref="C12" location="'402-23SVNEX01'!A1" display="23SVNEX01" xr:uid="{0FAF73F6-2DF1-4561-9102-46ECC37CB058}"/>
    <hyperlink ref="C6" location="'402-23CMSMI01'!A1" display="23CMSMI01" xr:uid="{03D38C28-82B0-4C7C-8049-FDCEDBB042D7}"/>
    <hyperlink ref="C7" location="'402-23FCWPL01'!A1" display="23FCWPL01" xr:uid="{0FD7D93C-2C98-4A64-A582-796BE1E7F116}"/>
    <hyperlink ref="C14" location="'403-23DHPIS01'!Print_Area" display="23DHPIS01" xr:uid="{5B048D2A-0E6A-48E4-A0B2-EDE589BEF084}"/>
    <hyperlink ref="C15" location="'403-23SYUIM01'!Print_Area" display="23SYUIM01" xr:uid="{E34DDB02-DD0D-4230-9232-ED311C02A1D5}"/>
    <hyperlink ref="C13" location="'403-23CHPAC01'!Print_Area" display="23CHPAC01" xr:uid="{5C74473E-8C50-46EE-93E3-55E07B698DEE}"/>
    <hyperlink ref="C37" location="'409-22DSWHD01a'!A1" display="22DSWHD01a" xr:uid="{F572E188-9BFA-4860-BDB3-C5092F503F01}"/>
    <hyperlink ref="C39" location="'409-23EMGCS02'!A1" display="23EMGCS02" xr:uid="{1556DF66-9A41-449C-872A-935A14716C8B}"/>
    <hyperlink ref="C44" location="'409-23NWFEO01'!A1" display=" " xr:uid="{708F2DC1-2E81-418B-A9D4-534CC708CB55}"/>
    <hyperlink ref="C48" location="'409-23WINIC01'!A1" display="23WINIC01" xr:uid="{B1FA3BEB-1CC8-42DB-BC79-14A04B05E715}"/>
    <hyperlink ref="C47" location="'409-23UNITY01'!A1" display="23UNITY01" xr:uid="{31E5BF61-DB2B-4C3D-8DAC-B7BA434F545D}"/>
    <hyperlink ref="C43" location="'409-23LVSRC01'!A1" display="23LVSRC01" xr:uid="{C7AFBAE4-AA68-4AE2-AAB6-0CAA0E2AB23A}"/>
    <hyperlink ref="C42" location="'409-23IFIHS01'!A1" display="23IFIHS01" xr:uid="{C750606F-40FA-4C8F-A2E6-614B142F7DBC}"/>
    <hyperlink ref="C41" location="'409-23FTFPS01'!Print_Area" display="23FTFPS01" xr:uid="{D77FA894-259F-4639-BDCE-26F2873B6D64}"/>
    <hyperlink ref="C38" location="'409-23CLKCW01'!A1" display="23CLKCW01" xr:uid="{45EE351C-8EA5-48FC-828D-DB854C92EA3F}"/>
    <hyperlink ref="C23" location="'406-23IBCLC02'!A1" display="23IBCLC02" xr:uid="{38B910AB-99BC-4017-9B80-BF49EA2F4E02}"/>
    <hyperlink ref="C40" location="'409-23EMPLR02'!A1" display="23EMPLR02" xr:uid="{E71BA95B-37F5-406D-9B12-41AD341EFE27}"/>
    <hyperlink ref="C45" location="'409-23SUPST3145'!A1" display="23SUPST3145" xr:uid="{94CA71BE-E734-452E-9BDE-0C04A6BB178E}"/>
    <hyperlink ref="C36" location="'409-22DSWHD01'!A1" display="22DSWHD01" xr:uid="{F52407F5-B39D-4D1A-AB28-8CE4109DE796}"/>
    <hyperlink ref="C46" location="'409-23SUPST3146'!A1" display="23SUPST3146" xr:uid="{5E06EAFF-8D9B-4996-9822-85B78FC093C5}"/>
    <hyperlink ref="C10" location="'402-23RFPCN01'!Print_Area" display="23RFPCN01" xr:uid="{2BA99E3B-23AF-49CC-BD65-4A1B1C37FC7F}"/>
  </hyperlinks>
  <printOptions headings="1" gridLines="1"/>
  <pageMargins left="0" right="0" top="0.25" bottom="0.5" header="0.3" footer="0.3"/>
  <pageSetup scale="70" fitToWidth="0"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643B6-4C6D-4A1F-9BEF-51D8257C3299}">
  <dimension ref="A1:AY13"/>
  <sheetViews>
    <sheetView workbookViewId="0"/>
  </sheetViews>
  <sheetFormatPr defaultColWidth="9.42578125" defaultRowHeight="15" x14ac:dyDescent="0.25"/>
  <cols>
    <col min="1" max="1" width="8.28515625" customWidth="1"/>
    <col min="2" max="2" width="7.7109375" customWidth="1"/>
    <col min="3" max="3" width="15.5703125" style="77" bestFit="1" customWidth="1"/>
    <col min="4" max="4" width="12.7109375" customWidth="1"/>
    <col min="5" max="5" width="15.7109375" style="39" customWidth="1"/>
    <col min="6" max="6" width="31.5703125" style="69" customWidth="1"/>
    <col min="7" max="7" width="11" customWidth="1"/>
    <col min="8" max="8" width="11.140625" customWidth="1"/>
    <col min="9" max="9" width="7.85546875" style="41" customWidth="1"/>
    <col min="10" max="10" width="8" style="41" customWidth="1"/>
    <col min="11" max="11" width="7.140625" hidden="1" customWidth="1"/>
    <col min="12" max="12" width="16.140625" hidden="1" customWidth="1"/>
    <col min="13" max="13" width="16.85546875" hidden="1" customWidth="1"/>
    <col min="14" max="14" width="7" customWidth="1"/>
    <col min="15" max="15" width="18.5703125" style="41" customWidth="1"/>
    <col min="16" max="17" width="16.140625" hidden="1" customWidth="1"/>
    <col min="18" max="18" width="16.140625" style="31" hidden="1" customWidth="1"/>
    <col min="19" max="20" width="16.140625" hidden="1" customWidth="1"/>
    <col min="21" max="21" width="15.5703125" hidden="1" customWidth="1"/>
    <col min="22" max="22" width="18.85546875" customWidth="1"/>
    <col min="23" max="23" width="17.5703125" customWidth="1"/>
    <col min="24" max="30" width="17.5703125" hidden="1" customWidth="1"/>
    <col min="31" max="31" width="17.5703125" customWidth="1"/>
    <col min="32" max="32" width="16.85546875" style="41" bestFit="1" customWidth="1"/>
    <col min="33" max="33" width="9.42578125" style="38"/>
    <col min="34" max="49" width="17" style="80" customWidth="1"/>
    <col min="50" max="50" width="25.85546875" style="80" customWidth="1"/>
    <col min="51" max="51" width="45.140625" style="80" customWidth="1"/>
  </cols>
  <sheetData>
    <row r="1" spans="1:51" s="1" customFormat="1" ht="12.75" thickBot="1" x14ac:dyDescent="0.25">
      <c r="C1" s="70"/>
      <c r="E1" s="2"/>
      <c r="F1" s="65"/>
      <c r="I1" s="40"/>
      <c r="J1" s="40"/>
      <c r="L1" s="3" t="e">
        <f>#REF!</f>
        <v>#REF!</v>
      </c>
      <c r="M1" s="3" t="e">
        <f>#REF!</f>
        <v>#REF!</v>
      </c>
      <c r="N1" s="3" t="e">
        <f>#REF!</f>
        <v>#REF!</v>
      </c>
      <c r="O1" s="4" t="e">
        <f>#REF!</f>
        <v>#REF!</v>
      </c>
      <c r="P1" s="3" t="e">
        <f>#REF!</f>
        <v>#REF!</v>
      </c>
      <c r="Q1" s="3" t="e">
        <f>#REF!</f>
        <v>#REF!</v>
      </c>
      <c r="R1" s="3" t="e">
        <f>#REF!</f>
        <v>#REF!</v>
      </c>
      <c r="S1" s="3" t="e">
        <f>#REF!</f>
        <v>#REF!</v>
      </c>
      <c r="T1" s="3" t="e">
        <f>#REF!</f>
        <v>#REF!</v>
      </c>
      <c r="U1" s="3" t="e">
        <f>#REF!</f>
        <v>#REF!</v>
      </c>
      <c r="V1" s="3" t="e">
        <f>#REF!</f>
        <v>#REF!</v>
      </c>
      <c r="W1" s="3" t="e">
        <f>#REF!</f>
        <v>#REF!</v>
      </c>
      <c r="X1" s="3">
        <f t="shared" ref="X1:AD1" si="0">SUM(X4:X12)</f>
        <v>0</v>
      </c>
      <c r="Y1" s="3">
        <f t="shared" si="0"/>
        <v>0</v>
      </c>
      <c r="Z1" s="3">
        <f t="shared" si="0"/>
        <v>145228.91999999998</v>
      </c>
      <c r="AA1" s="3">
        <f t="shared" si="0"/>
        <v>4347216.18</v>
      </c>
      <c r="AB1" s="3">
        <f t="shared" si="0"/>
        <v>21328205.379999999</v>
      </c>
      <c r="AC1" s="3">
        <f t="shared" si="0"/>
        <v>5842885.8200000003</v>
      </c>
      <c r="AD1" s="3">
        <f t="shared" si="0"/>
        <v>0</v>
      </c>
      <c r="AE1" s="3">
        <f>SUM(X1:AD1)</f>
        <v>31663536.299999997</v>
      </c>
      <c r="AF1" s="40"/>
      <c r="AG1" s="5"/>
      <c r="AH1" s="107" t="s">
        <v>0</v>
      </c>
      <c r="AI1" s="107"/>
      <c r="AJ1" s="107"/>
      <c r="AK1" s="107"/>
      <c r="AL1" s="107"/>
      <c r="AM1" s="107"/>
      <c r="AN1" s="107"/>
      <c r="AO1" s="107"/>
      <c r="AP1" s="107"/>
      <c r="AQ1" s="107"/>
      <c r="AR1" s="107"/>
      <c r="AS1" s="107"/>
      <c r="AT1" s="107"/>
      <c r="AU1" s="107"/>
      <c r="AV1" s="107"/>
      <c r="AW1" s="107"/>
      <c r="AX1" s="78"/>
      <c r="AY1" s="78"/>
    </row>
    <row r="2" spans="1:51" s="1" customFormat="1" ht="16.5" thickBot="1" x14ac:dyDescent="0.3">
      <c r="C2" s="70"/>
      <c r="E2" s="2"/>
      <c r="F2" s="65"/>
      <c r="I2" s="40"/>
      <c r="J2" s="40"/>
      <c r="L2" s="3"/>
      <c r="M2" s="3"/>
      <c r="N2" s="3"/>
      <c r="O2" s="4"/>
      <c r="P2" s="3"/>
      <c r="Q2" s="3"/>
      <c r="R2" s="3"/>
      <c r="S2" s="3"/>
      <c r="T2" s="3"/>
      <c r="U2" s="3"/>
      <c r="V2" s="3"/>
      <c r="W2" s="3"/>
      <c r="X2" s="94" t="s">
        <v>1</v>
      </c>
      <c r="Y2" s="92"/>
      <c r="Z2" s="92"/>
      <c r="AA2" s="92"/>
      <c r="AB2" s="92"/>
      <c r="AC2" s="92"/>
      <c r="AD2" s="92"/>
      <c r="AE2" s="105" t="s">
        <v>2</v>
      </c>
      <c r="AF2" s="106"/>
      <c r="AG2" s="5"/>
      <c r="AH2" s="108"/>
      <c r="AI2" s="108"/>
      <c r="AJ2" s="108"/>
      <c r="AK2" s="108"/>
      <c r="AL2" s="108"/>
      <c r="AM2" s="108"/>
      <c r="AN2" s="108"/>
      <c r="AO2" s="108"/>
      <c r="AP2" s="108"/>
      <c r="AQ2" s="108"/>
      <c r="AR2" s="108"/>
      <c r="AS2" s="108"/>
      <c r="AT2" s="108"/>
      <c r="AU2" s="108"/>
      <c r="AV2" s="108"/>
      <c r="AW2" s="108"/>
      <c r="AX2" s="78"/>
      <c r="AY2" s="78"/>
    </row>
    <row r="3" spans="1:51" ht="64.5" thickBot="1" x14ac:dyDescent="0.3">
      <c r="A3" s="49" t="s">
        <v>3</v>
      </c>
      <c r="B3" s="50" t="s">
        <v>4</v>
      </c>
      <c r="C3" s="51" t="s">
        <v>5</v>
      </c>
      <c r="D3" s="49" t="s">
        <v>6</v>
      </c>
      <c r="E3" s="52" t="s">
        <v>7</v>
      </c>
      <c r="F3" s="53" t="s">
        <v>8</v>
      </c>
      <c r="G3" s="54" t="s">
        <v>9</v>
      </c>
      <c r="H3" s="54" t="s">
        <v>10</v>
      </c>
      <c r="I3" s="54" t="s">
        <v>11</v>
      </c>
      <c r="J3" s="54" t="s">
        <v>12</v>
      </c>
      <c r="K3" s="54" t="s">
        <v>13</v>
      </c>
      <c r="L3" s="55" t="s">
        <v>14</v>
      </c>
      <c r="M3" s="56" t="s">
        <v>15</v>
      </c>
      <c r="N3" s="55" t="s">
        <v>16</v>
      </c>
      <c r="O3" s="55" t="s">
        <v>17</v>
      </c>
      <c r="P3" s="57" t="s">
        <v>18</v>
      </c>
      <c r="Q3" s="57" t="s">
        <v>19</v>
      </c>
      <c r="R3" s="57" t="s">
        <v>20</v>
      </c>
      <c r="S3" s="57" t="s">
        <v>21</v>
      </c>
      <c r="T3" s="57" t="s">
        <v>22</v>
      </c>
      <c r="U3" s="57" t="s">
        <v>23</v>
      </c>
      <c r="V3" s="57" t="s">
        <v>24</v>
      </c>
      <c r="W3" s="58" t="s">
        <v>25</v>
      </c>
      <c r="X3" s="93" t="s">
        <v>26</v>
      </c>
      <c r="Y3" s="93" t="s">
        <v>27</v>
      </c>
      <c r="Z3" s="93" t="s">
        <v>28</v>
      </c>
      <c r="AA3" s="93" t="s">
        <v>29</v>
      </c>
      <c r="AB3" s="93" t="s">
        <v>30</v>
      </c>
      <c r="AC3" s="93" t="s">
        <v>31</v>
      </c>
      <c r="AD3" s="93" t="s">
        <v>32</v>
      </c>
      <c r="AE3" s="59" t="s">
        <v>33</v>
      </c>
      <c r="AF3" s="60" t="s">
        <v>34</v>
      </c>
      <c r="AG3" s="61" t="s">
        <v>35</v>
      </c>
      <c r="AH3" s="84" t="s">
        <v>36</v>
      </c>
      <c r="AI3" s="91">
        <v>46037</v>
      </c>
      <c r="AJ3" s="91">
        <f>AI3+30</f>
        <v>46067</v>
      </c>
      <c r="AK3" s="91">
        <f t="shared" ref="AK3:AT3" si="1">AJ3+30</f>
        <v>46097</v>
      </c>
      <c r="AL3" s="91">
        <f t="shared" si="1"/>
        <v>46127</v>
      </c>
      <c r="AM3" s="91">
        <f t="shared" si="1"/>
        <v>46157</v>
      </c>
      <c r="AN3" s="91">
        <f t="shared" si="1"/>
        <v>46187</v>
      </c>
      <c r="AO3" s="91">
        <f t="shared" si="1"/>
        <v>46217</v>
      </c>
      <c r="AP3" s="91">
        <f t="shared" si="1"/>
        <v>46247</v>
      </c>
      <c r="AQ3" s="91">
        <f t="shared" si="1"/>
        <v>46277</v>
      </c>
      <c r="AR3" s="91">
        <f t="shared" si="1"/>
        <v>46307</v>
      </c>
      <c r="AS3" s="91">
        <f t="shared" si="1"/>
        <v>46337</v>
      </c>
      <c r="AT3" s="91">
        <f t="shared" si="1"/>
        <v>46367</v>
      </c>
      <c r="AU3" s="84" t="s">
        <v>37</v>
      </c>
      <c r="AV3" s="84" t="s">
        <v>38</v>
      </c>
      <c r="AW3" s="84" t="s">
        <v>39</v>
      </c>
      <c r="AX3" s="85" t="s">
        <v>40</v>
      </c>
      <c r="AY3" s="86" t="s">
        <v>41</v>
      </c>
    </row>
    <row r="4" spans="1:51" ht="102.75" x14ac:dyDescent="0.25">
      <c r="A4" s="62" t="s">
        <v>42</v>
      </c>
      <c r="B4" s="62" t="s">
        <v>43</v>
      </c>
      <c r="C4" s="72" t="s">
        <v>44</v>
      </c>
      <c r="D4" s="63" t="s">
        <v>45</v>
      </c>
      <c r="E4" s="10" t="s">
        <v>46</v>
      </c>
      <c r="F4" s="66" t="s">
        <v>47</v>
      </c>
      <c r="G4" s="12">
        <v>44854</v>
      </c>
      <c r="H4" s="12">
        <v>46203</v>
      </c>
      <c r="I4" s="42">
        <v>3276</v>
      </c>
      <c r="J4" s="30">
        <v>40</v>
      </c>
      <c r="K4" s="13">
        <v>24</v>
      </c>
      <c r="L4" s="15">
        <v>368100</v>
      </c>
      <c r="M4" s="14"/>
      <c r="N4" s="14"/>
      <c r="O4" s="14">
        <f t="shared" ref="O4:O11" si="2">SUM(L4:N4)</f>
        <v>368100</v>
      </c>
      <c r="P4" s="14"/>
      <c r="Q4" s="14"/>
      <c r="R4" s="14"/>
      <c r="S4" s="14">
        <v>13339.4</v>
      </c>
      <c r="T4" s="14"/>
      <c r="U4" s="14"/>
      <c r="V4" s="14">
        <f t="shared" ref="V4:V11" si="3">SUM(P4:U4)</f>
        <v>13339.4</v>
      </c>
      <c r="W4" s="15">
        <f>L4-V4+M4+N4</f>
        <v>354760.6</v>
      </c>
      <c r="X4" s="8"/>
      <c r="Y4" s="8"/>
      <c r="Z4" s="8">
        <v>16749.46</v>
      </c>
      <c r="AA4" s="8">
        <v>69421.2</v>
      </c>
      <c r="AB4" s="8">
        <v>155690.70000000001</v>
      </c>
      <c r="AC4" s="8">
        <v>34505.96</v>
      </c>
      <c r="AD4" s="8"/>
      <c r="AE4" s="14">
        <f t="shared" ref="AE4:AE11" si="4">SUM(X4:AD4)</f>
        <v>276367.32</v>
      </c>
      <c r="AF4" s="15">
        <f t="shared" ref="AF4:AF11" si="5">W4-AE4</f>
        <v>78393.27999999997</v>
      </c>
      <c r="AG4" s="46">
        <f t="shared" ref="AG4:AG11" si="6">AE4/W4</f>
        <v>0.77902484097726754</v>
      </c>
      <c r="AH4" s="88">
        <v>0</v>
      </c>
      <c r="AI4" s="88">
        <v>26985.300000000003</v>
      </c>
      <c r="AJ4" s="88">
        <v>12239.830000000002</v>
      </c>
      <c r="AK4" s="88">
        <f>48.13+9912.9</f>
        <v>9961.0299999999988</v>
      </c>
      <c r="AL4" s="88">
        <f>48.13+9912.9</f>
        <v>9961.0299999999988</v>
      </c>
      <c r="AM4" s="88">
        <f>48.13+9912.9</f>
        <v>9961.0299999999988</v>
      </c>
      <c r="AN4" s="88">
        <v>9285.06</v>
      </c>
      <c r="AO4" s="88">
        <v>0</v>
      </c>
      <c r="AP4" s="88">
        <v>0</v>
      </c>
      <c r="AQ4" s="88">
        <v>0</v>
      </c>
      <c r="AR4" s="88">
        <v>0</v>
      </c>
      <c r="AS4" s="88">
        <v>0</v>
      </c>
      <c r="AT4" s="88">
        <v>0</v>
      </c>
      <c r="AU4" s="88">
        <v>0</v>
      </c>
      <c r="AV4" s="87">
        <f t="shared" ref="AV4:AV11" si="7">SUM(AH4:AU4)</f>
        <v>78393.279999999999</v>
      </c>
      <c r="AW4" s="87">
        <f t="shared" ref="AW4:AW11" si="8">AV4-AF4</f>
        <v>0</v>
      </c>
      <c r="AX4" s="82" t="s">
        <v>169</v>
      </c>
      <c r="AY4" s="95" t="s">
        <v>193</v>
      </c>
    </row>
    <row r="5" spans="1:51" ht="102.75" x14ac:dyDescent="0.25">
      <c r="A5" s="62" t="s">
        <v>50</v>
      </c>
      <c r="B5" s="62" t="s">
        <v>51</v>
      </c>
      <c r="C5" s="72" t="s">
        <v>52</v>
      </c>
      <c r="D5" s="63" t="s">
        <v>53</v>
      </c>
      <c r="E5" s="10" t="s">
        <v>46</v>
      </c>
      <c r="F5" s="66" t="s">
        <v>54</v>
      </c>
      <c r="G5" s="12">
        <v>45330</v>
      </c>
      <c r="H5" s="12">
        <v>46203</v>
      </c>
      <c r="I5" s="42">
        <v>3151</v>
      </c>
      <c r="J5" s="30">
        <v>41</v>
      </c>
      <c r="K5" s="13">
        <v>24</v>
      </c>
      <c r="L5" s="15">
        <v>7500000</v>
      </c>
      <c r="M5" s="14"/>
      <c r="N5" s="14"/>
      <c r="O5" s="14">
        <f t="shared" si="2"/>
        <v>7500000</v>
      </c>
      <c r="P5" s="14"/>
      <c r="Q5" s="14"/>
      <c r="R5" s="14"/>
      <c r="S5" s="14"/>
      <c r="T5" s="14"/>
      <c r="U5" s="14"/>
      <c r="V5" s="14">
        <f t="shared" si="3"/>
        <v>0</v>
      </c>
      <c r="W5" s="15">
        <f t="shared" ref="W5:W11" si="9">L5-V5+M5+N5</f>
        <v>7500000</v>
      </c>
      <c r="X5" s="8"/>
      <c r="Y5" s="8"/>
      <c r="Z5" s="8">
        <v>55865</v>
      </c>
      <c r="AA5" s="8">
        <v>367393.98</v>
      </c>
      <c r="AB5" s="8">
        <v>3197831.0700000003</v>
      </c>
      <c r="AC5" s="8">
        <v>818303.07000000007</v>
      </c>
      <c r="AD5" s="8"/>
      <c r="AE5" s="14">
        <f>SUM(X5:AD5)</f>
        <v>4439393.12</v>
      </c>
      <c r="AF5" s="15">
        <f t="shared" si="5"/>
        <v>3060606.88</v>
      </c>
      <c r="AG5" s="46">
        <f t="shared" si="6"/>
        <v>0.59191908266666671</v>
      </c>
      <c r="AH5" s="88"/>
      <c r="AI5" s="88">
        <v>269447.5</v>
      </c>
      <c r="AJ5" s="88">
        <v>239747.5</v>
      </c>
      <c r="AK5" s="88">
        <v>239747.5</v>
      </c>
      <c r="AL5" s="88">
        <v>239747.5</v>
      </c>
      <c r="AM5" s="88">
        <v>249747.5</v>
      </c>
      <c r="AN5" s="88">
        <v>249747.5</v>
      </c>
      <c r="AO5" s="88">
        <v>487147.5</v>
      </c>
      <c r="AP5" s="88">
        <v>249747.5</v>
      </c>
      <c r="AQ5" s="88">
        <v>232179.33000000002</v>
      </c>
      <c r="AR5" s="88">
        <v>220347.5</v>
      </c>
      <c r="AS5" s="88">
        <v>277139.95</v>
      </c>
      <c r="AT5" s="88">
        <v>105860.1</v>
      </c>
      <c r="AU5" s="88"/>
      <c r="AV5" s="87">
        <f t="shared" si="7"/>
        <v>3060606.8800000004</v>
      </c>
      <c r="AW5" s="87">
        <f t="shared" si="8"/>
        <v>0</v>
      </c>
      <c r="AX5" s="82" t="s">
        <v>169</v>
      </c>
      <c r="AY5" s="95" t="s">
        <v>170</v>
      </c>
    </row>
    <row r="6" spans="1:51" ht="39" x14ac:dyDescent="0.25">
      <c r="A6" s="62" t="s">
        <v>50</v>
      </c>
      <c r="B6" s="62" t="s">
        <v>51</v>
      </c>
      <c r="C6" s="72" t="s">
        <v>55</v>
      </c>
      <c r="D6" s="63" t="s">
        <v>53</v>
      </c>
      <c r="E6" s="10" t="s">
        <v>46</v>
      </c>
      <c r="F6" s="66" t="s">
        <v>56</v>
      </c>
      <c r="G6" s="12">
        <v>44854</v>
      </c>
      <c r="H6" s="12">
        <v>46387</v>
      </c>
      <c r="I6" s="42">
        <v>3278</v>
      </c>
      <c r="J6" s="30">
        <v>62</v>
      </c>
      <c r="K6" s="13">
        <v>33</v>
      </c>
      <c r="L6" s="15">
        <v>5000000</v>
      </c>
      <c r="M6" s="19"/>
      <c r="N6" s="14"/>
      <c r="O6" s="14">
        <f t="shared" si="2"/>
        <v>5000000</v>
      </c>
      <c r="P6" s="14">
        <v>0</v>
      </c>
      <c r="Q6" s="14"/>
      <c r="R6" s="14">
        <v>2000000</v>
      </c>
      <c r="S6" s="14"/>
      <c r="T6" s="14"/>
      <c r="U6" s="14"/>
      <c r="V6" s="19">
        <f t="shared" si="3"/>
        <v>2000000</v>
      </c>
      <c r="W6" s="15">
        <f t="shared" si="9"/>
        <v>3000000</v>
      </c>
      <c r="X6" s="8"/>
      <c r="Y6" s="8"/>
      <c r="Z6" s="8"/>
      <c r="AA6" s="8">
        <v>5084.5600000000004</v>
      </c>
      <c r="AB6" s="8">
        <v>360844.61999999994</v>
      </c>
      <c r="AC6" s="8">
        <v>279922.77</v>
      </c>
      <c r="AD6" s="8"/>
      <c r="AE6" s="14">
        <f t="shared" si="4"/>
        <v>645851.94999999995</v>
      </c>
      <c r="AF6" s="15">
        <f t="shared" si="5"/>
        <v>2354148.0499999998</v>
      </c>
      <c r="AG6" s="46">
        <f t="shared" si="6"/>
        <v>0.21528398333333332</v>
      </c>
      <c r="AH6" s="88">
        <v>98757.22</v>
      </c>
      <c r="AI6" s="88">
        <v>109357.79</v>
      </c>
      <c r="AJ6" s="88">
        <v>109357.79</v>
      </c>
      <c r="AK6" s="88">
        <v>109357.79</v>
      </c>
      <c r="AL6" s="88">
        <v>181401.13</v>
      </c>
      <c r="AM6" s="88">
        <v>128767.24</v>
      </c>
      <c r="AN6" s="88">
        <v>128767.24</v>
      </c>
      <c r="AO6" s="88">
        <v>230015.7</v>
      </c>
      <c r="AP6" s="88">
        <v>230015.7</v>
      </c>
      <c r="AQ6" s="88">
        <v>240015.7</v>
      </c>
      <c r="AR6" s="88">
        <v>229852.26</v>
      </c>
      <c r="AS6" s="88">
        <v>229852.26</v>
      </c>
      <c r="AT6" s="88">
        <v>328630.23</v>
      </c>
      <c r="AU6" s="88"/>
      <c r="AV6" s="87">
        <f t="shared" si="7"/>
        <v>2354148.0499999998</v>
      </c>
      <c r="AW6" s="87">
        <f t="shared" si="8"/>
        <v>0</v>
      </c>
      <c r="AX6" s="82" t="s">
        <v>169</v>
      </c>
      <c r="AY6" s="95" t="s">
        <v>171</v>
      </c>
    </row>
    <row r="7" spans="1:51" ht="141" x14ac:dyDescent="0.25">
      <c r="A7" s="62" t="s">
        <v>50</v>
      </c>
      <c r="B7" s="62" t="s">
        <v>51</v>
      </c>
      <c r="C7" s="72" t="s">
        <v>57</v>
      </c>
      <c r="D7" s="63" t="s">
        <v>53</v>
      </c>
      <c r="E7" s="10" t="s">
        <v>46</v>
      </c>
      <c r="F7" s="66" t="s">
        <v>58</v>
      </c>
      <c r="G7" s="12">
        <v>44854</v>
      </c>
      <c r="H7" s="12">
        <v>46203</v>
      </c>
      <c r="I7" s="42">
        <v>3278</v>
      </c>
      <c r="J7" s="30">
        <v>62</v>
      </c>
      <c r="K7" s="13">
        <v>34</v>
      </c>
      <c r="L7" s="15">
        <v>1559280</v>
      </c>
      <c r="M7" s="14"/>
      <c r="N7" s="14"/>
      <c r="O7" s="14">
        <f t="shared" si="2"/>
        <v>1559280</v>
      </c>
      <c r="P7" s="14">
        <v>0</v>
      </c>
      <c r="Q7" s="14"/>
      <c r="R7" s="14">
        <v>59280</v>
      </c>
      <c r="S7" s="14"/>
      <c r="T7" s="14"/>
      <c r="U7" s="14"/>
      <c r="V7" s="14">
        <f t="shared" si="3"/>
        <v>59280</v>
      </c>
      <c r="W7" s="15">
        <f t="shared" si="9"/>
        <v>1500000</v>
      </c>
      <c r="X7" s="8"/>
      <c r="Y7" s="8"/>
      <c r="Z7" s="8"/>
      <c r="AA7" s="8">
        <v>193311.08</v>
      </c>
      <c r="AB7" s="8">
        <v>916278.09000000008</v>
      </c>
      <c r="AC7" s="8">
        <v>0</v>
      </c>
      <c r="AD7" s="8"/>
      <c r="AE7" s="14">
        <f t="shared" si="4"/>
        <v>1109589.1700000002</v>
      </c>
      <c r="AF7" s="15">
        <f t="shared" si="5"/>
        <v>390410.82999999984</v>
      </c>
      <c r="AG7" s="46">
        <f t="shared" si="6"/>
        <v>0.73972611333333349</v>
      </c>
      <c r="AH7" s="88">
        <v>89886.84</v>
      </c>
      <c r="AI7" s="88">
        <v>45842</v>
      </c>
      <c r="AJ7" s="88">
        <v>46562</v>
      </c>
      <c r="AK7" s="88">
        <v>46562</v>
      </c>
      <c r="AL7" s="88">
        <v>46561.15</v>
      </c>
      <c r="AM7" s="88">
        <v>27640</v>
      </c>
      <c r="AN7" s="88">
        <v>27640</v>
      </c>
      <c r="AO7" s="88">
        <v>25487.94</v>
      </c>
      <c r="AP7" s="88">
        <v>25487.94</v>
      </c>
      <c r="AQ7" s="88">
        <v>8740.9599999999991</v>
      </c>
      <c r="AR7" s="88">
        <v>0</v>
      </c>
      <c r="AS7" s="88">
        <v>0</v>
      </c>
      <c r="AT7" s="88">
        <v>0</v>
      </c>
      <c r="AU7" s="88"/>
      <c r="AV7" s="87">
        <f t="shared" si="7"/>
        <v>390410.83</v>
      </c>
      <c r="AW7" s="87">
        <f t="shared" si="8"/>
        <v>0</v>
      </c>
      <c r="AX7" s="82" t="s">
        <v>169</v>
      </c>
      <c r="AY7" s="95" t="s">
        <v>192</v>
      </c>
    </row>
    <row r="8" spans="1:51" ht="51.75" x14ac:dyDescent="0.25">
      <c r="A8" s="62" t="s">
        <v>50</v>
      </c>
      <c r="B8" s="62" t="s">
        <v>51</v>
      </c>
      <c r="C8" s="72" t="s">
        <v>59</v>
      </c>
      <c r="D8" s="63" t="s">
        <v>53</v>
      </c>
      <c r="E8" s="10" t="s">
        <v>46</v>
      </c>
      <c r="F8" s="66" t="s">
        <v>60</v>
      </c>
      <c r="G8" s="12">
        <v>44854</v>
      </c>
      <c r="H8" s="12">
        <v>46387</v>
      </c>
      <c r="I8" s="42">
        <v>3278</v>
      </c>
      <c r="J8" s="30">
        <v>62</v>
      </c>
      <c r="K8" s="13">
        <v>34</v>
      </c>
      <c r="L8" s="15">
        <v>2090000</v>
      </c>
      <c r="M8" s="19"/>
      <c r="N8" s="14"/>
      <c r="O8" s="14">
        <f t="shared" si="2"/>
        <v>2090000</v>
      </c>
      <c r="P8" s="14">
        <v>0</v>
      </c>
      <c r="Q8" s="14"/>
      <c r="R8" s="14">
        <v>59280</v>
      </c>
      <c r="S8" s="14"/>
      <c r="T8" s="14"/>
      <c r="U8" s="14"/>
      <c r="V8" s="19">
        <f t="shared" si="3"/>
        <v>59280</v>
      </c>
      <c r="W8" s="15">
        <f t="shared" si="9"/>
        <v>2030720</v>
      </c>
      <c r="X8" s="8"/>
      <c r="Y8" s="8"/>
      <c r="Z8" s="8"/>
      <c r="AA8" s="8">
        <v>1001269.81</v>
      </c>
      <c r="AB8" s="8">
        <v>942256.52999999991</v>
      </c>
      <c r="AC8" s="8">
        <v>59400.23</v>
      </c>
      <c r="AD8" s="8"/>
      <c r="AE8" s="14">
        <f t="shared" si="4"/>
        <v>2002926.5699999998</v>
      </c>
      <c r="AF8" s="15">
        <f t="shared" si="5"/>
        <v>27793.430000000168</v>
      </c>
      <c r="AG8" s="46">
        <f t="shared" si="6"/>
        <v>0.98631350949416952</v>
      </c>
      <c r="AH8" s="88">
        <v>1974</v>
      </c>
      <c r="AI8" s="88">
        <v>4974.3599999999997</v>
      </c>
      <c r="AJ8" s="88">
        <v>4974.3599999999997</v>
      </c>
      <c r="AK8" s="88">
        <v>4974.3599999999997</v>
      </c>
      <c r="AL8" s="88">
        <v>4974.3599999999997</v>
      </c>
      <c r="AM8" s="88">
        <v>5921.99</v>
      </c>
      <c r="AN8" s="88">
        <v>0</v>
      </c>
      <c r="AO8" s="88">
        <v>0</v>
      </c>
      <c r="AP8" s="88">
        <v>0</v>
      </c>
      <c r="AQ8" s="88">
        <v>0</v>
      </c>
      <c r="AR8" s="88">
        <v>0</v>
      </c>
      <c r="AS8" s="88">
        <v>0</v>
      </c>
      <c r="AT8" s="88">
        <v>0</v>
      </c>
      <c r="AU8" s="88"/>
      <c r="AV8" s="87">
        <f t="shared" si="7"/>
        <v>27793.43</v>
      </c>
      <c r="AW8" s="87">
        <f t="shared" si="8"/>
        <v>-1.673470251262188E-10</v>
      </c>
      <c r="AX8" s="82" t="s">
        <v>169</v>
      </c>
      <c r="AY8" s="95" t="s">
        <v>194</v>
      </c>
    </row>
    <row r="9" spans="1:51" ht="51.75" x14ac:dyDescent="0.25">
      <c r="A9" s="62" t="s">
        <v>50</v>
      </c>
      <c r="B9" s="62" t="s">
        <v>51</v>
      </c>
      <c r="C9" s="74" t="s">
        <v>61</v>
      </c>
      <c r="D9" s="63" t="s">
        <v>53</v>
      </c>
      <c r="E9" s="10" t="s">
        <v>46</v>
      </c>
      <c r="F9" s="66" t="s">
        <v>62</v>
      </c>
      <c r="G9" s="12">
        <v>44854</v>
      </c>
      <c r="H9" s="12">
        <v>46387</v>
      </c>
      <c r="I9" s="42">
        <v>3279</v>
      </c>
      <c r="J9" s="30">
        <v>34</v>
      </c>
      <c r="K9" s="13">
        <v>34</v>
      </c>
      <c r="L9" s="15">
        <v>14520000</v>
      </c>
      <c r="M9" s="14"/>
      <c r="N9" s="14"/>
      <c r="O9" s="14">
        <f t="shared" si="2"/>
        <v>14520000</v>
      </c>
      <c r="P9" s="14"/>
      <c r="Q9" s="14"/>
      <c r="R9" s="14">
        <v>2000000</v>
      </c>
      <c r="S9" s="14"/>
      <c r="T9" s="14"/>
      <c r="U9" s="14"/>
      <c r="V9" s="14">
        <f t="shared" si="3"/>
        <v>2000000</v>
      </c>
      <c r="W9" s="15">
        <f t="shared" si="9"/>
        <v>12520000</v>
      </c>
      <c r="X9" s="8"/>
      <c r="Y9" s="8"/>
      <c r="Z9" s="8"/>
      <c r="AA9" s="8">
        <v>185103.93999999997</v>
      </c>
      <c r="AB9" s="8">
        <v>1468023.9800000004</v>
      </c>
      <c r="AC9" s="8">
        <v>1062721.8799999999</v>
      </c>
      <c r="AD9" s="8"/>
      <c r="AE9" s="14">
        <f t="shared" si="4"/>
        <v>2715849.8000000003</v>
      </c>
      <c r="AF9" s="15">
        <f t="shared" si="5"/>
        <v>9804150.1999999993</v>
      </c>
      <c r="AG9" s="46">
        <f t="shared" si="6"/>
        <v>0.21692091054313101</v>
      </c>
      <c r="AH9" s="88"/>
      <c r="AI9" s="88">
        <v>712627.81</v>
      </c>
      <c r="AJ9" s="88">
        <v>712627.82</v>
      </c>
      <c r="AK9" s="88">
        <v>712627.81</v>
      </c>
      <c r="AL9" s="88">
        <v>920141.99</v>
      </c>
      <c r="AM9" s="88">
        <v>920141.98</v>
      </c>
      <c r="AN9" s="88">
        <v>920141.99</v>
      </c>
      <c r="AO9" s="88">
        <v>720141.98</v>
      </c>
      <c r="AP9" s="88">
        <v>712627.82</v>
      </c>
      <c r="AQ9" s="88">
        <v>712627.81</v>
      </c>
      <c r="AR9" s="88">
        <v>920141.99</v>
      </c>
      <c r="AS9" s="88">
        <v>920141.98</v>
      </c>
      <c r="AT9" s="88">
        <v>920159.22</v>
      </c>
      <c r="AU9" s="88"/>
      <c r="AV9" s="87">
        <f t="shared" si="7"/>
        <v>9804150.2000000011</v>
      </c>
      <c r="AW9" s="87">
        <f t="shared" si="8"/>
        <v>0</v>
      </c>
      <c r="AX9" s="82" t="s">
        <v>169</v>
      </c>
      <c r="AY9" s="95" t="s">
        <v>172</v>
      </c>
    </row>
    <row r="10" spans="1:51" ht="64.5" x14ac:dyDescent="0.25">
      <c r="A10" s="62" t="s">
        <v>50</v>
      </c>
      <c r="B10" s="62" t="s">
        <v>51</v>
      </c>
      <c r="C10" s="72" t="s">
        <v>63</v>
      </c>
      <c r="D10" s="63" t="s">
        <v>53</v>
      </c>
      <c r="E10" s="20" t="s">
        <v>46</v>
      </c>
      <c r="F10" s="66" t="s">
        <v>64</v>
      </c>
      <c r="G10" s="12">
        <v>44854</v>
      </c>
      <c r="H10" s="12">
        <v>46112</v>
      </c>
      <c r="I10" s="42">
        <v>3278</v>
      </c>
      <c r="J10" s="30">
        <v>63</v>
      </c>
      <c r="K10" s="13">
        <v>33</v>
      </c>
      <c r="L10" s="21">
        <v>4000000</v>
      </c>
      <c r="M10" s="19"/>
      <c r="N10" s="19"/>
      <c r="O10" s="19">
        <f t="shared" si="2"/>
        <v>4000000</v>
      </c>
      <c r="P10" s="14"/>
      <c r="Q10" s="14"/>
      <c r="R10" s="14"/>
      <c r="S10" s="19"/>
      <c r="T10" s="19"/>
      <c r="U10" s="19"/>
      <c r="V10" s="19">
        <f t="shared" si="3"/>
        <v>0</v>
      </c>
      <c r="W10" s="21">
        <f t="shared" si="9"/>
        <v>4000000</v>
      </c>
      <c r="X10" s="8"/>
      <c r="Y10" s="8"/>
      <c r="Z10" s="8"/>
      <c r="AA10" s="8">
        <v>127023.52</v>
      </c>
      <c r="AB10" s="8">
        <v>3144731.7399999998</v>
      </c>
      <c r="AC10" s="8">
        <v>598370.33000000007</v>
      </c>
      <c r="AD10" s="8"/>
      <c r="AE10" s="19">
        <f t="shared" si="4"/>
        <v>3870125.59</v>
      </c>
      <c r="AF10" s="21">
        <f t="shared" si="5"/>
        <v>129874.41000000015</v>
      </c>
      <c r="AG10" s="46">
        <f t="shared" si="6"/>
        <v>0.96753139749999995</v>
      </c>
      <c r="AH10" s="88">
        <v>0</v>
      </c>
      <c r="AI10" s="88">
        <v>64937.2</v>
      </c>
      <c r="AJ10" s="88">
        <v>64937.21</v>
      </c>
      <c r="AK10" s="88">
        <v>0</v>
      </c>
      <c r="AL10" s="88">
        <v>0</v>
      </c>
      <c r="AM10" s="88">
        <v>0</v>
      </c>
      <c r="AN10" s="88">
        <v>0</v>
      </c>
      <c r="AO10" s="88">
        <v>0</v>
      </c>
      <c r="AP10" s="88">
        <v>0</v>
      </c>
      <c r="AQ10" s="88">
        <v>0</v>
      </c>
      <c r="AR10" s="88">
        <v>0</v>
      </c>
      <c r="AS10" s="88">
        <v>0</v>
      </c>
      <c r="AT10" s="88">
        <v>0</v>
      </c>
      <c r="AU10" s="88"/>
      <c r="AV10" s="87">
        <f t="shared" si="7"/>
        <v>129874.41</v>
      </c>
      <c r="AW10" s="87">
        <f t="shared" si="8"/>
        <v>-1.4551915228366852E-10</v>
      </c>
      <c r="AX10" s="82" t="s">
        <v>169</v>
      </c>
      <c r="AY10" s="96" t="s">
        <v>195</v>
      </c>
    </row>
    <row r="11" spans="1:51" ht="153.75" x14ac:dyDescent="0.25">
      <c r="A11" s="62" t="s">
        <v>50</v>
      </c>
      <c r="B11" s="62" t="s">
        <v>51</v>
      </c>
      <c r="C11" s="72" t="s">
        <v>65</v>
      </c>
      <c r="D11" s="63" t="s">
        <v>53</v>
      </c>
      <c r="E11" s="10" t="s">
        <v>46</v>
      </c>
      <c r="F11" s="66" t="s">
        <v>66</v>
      </c>
      <c r="G11" s="12">
        <v>44854</v>
      </c>
      <c r="H11" s="12">
        <v>46387</v>
      </c>
      <c r="I11" s="42">
        <v>3278</v>
      </c>
      <c r="J11" s="30">
        <v>62</v>
      </c>
      <c r="K11" s="13">
        <v>34</v>
      </c>
      <c r="L11" s="15">
        <v>1646881</v>
      </c>
      <c r="M11" s="19"/>
      <c r="N11" s="14"/>
      <c r="O11" s="14">
        <f t="shared" si="2"/>
        <v>1646881</v>
      </c>
      <c r="P11" s="14">
        <v>0</v>
      </c>
      <c r="Q11" s="14"/>
      <c r="R11" s="14">
        <v>500000</v>
      </c>
      <c r="S11" s="14"/>
      <c r="T11" s="14"/>
      <c r="U11" s="14"/>
      <c r="V11" s="19">
        <f t="shared" si="3"/>
        <v>500000</v>
      </c>
      <c r="W11" s="15">
        <f t="shared" si="9"/>
        <v>1146881</v>
      </c>
      <c r="X11" s="8"/>
      <c r="Y11" s="8"/>
      <c r="Z11" s="8"/>
      <c r="AA11" s="8">
        <v>225000</v>
      </c>
      <c r="AB11" s="8">
        <v>478445.95999999985</v>
      </c>
      <c r="AC11" s="8">
        <v>68218.67</v>
      </c>
      <c r="AD11" s="8"/>
      <c r="AE11" s="14">
        <f t="shared" si="4"/>
        <v>771664.62999999989</v>
      </c>
      <c r="AF11" s="15">
        <f t="shared" si="5"/>
        <v>375216.37000000011</v>
      </c>
      <c r="AG11" s="46">
        <f t="shared" si="6"/>
        <v>0.6728375742557422</v>
      </c>
      <c r="AH11" s="88">
        <v>17845.21</v>
      </c>
      <c r="AI11" s="88">
        <v>29140.65</v>
      </c>
      <c r="AJ11" s="88">
        <v>44140.65</v>
      </c>
      <c r="AK11" s="88">
        <v>46138.09</v>
      </c>
      <c r="AL11" s="88">
        <v>46138.09</v>
      </c>
      <c r="AM11" s="88">
        <v>46138.09</v>
      </c>
      <c r="AN11" s="88">
        <v>51138.09</v>
      </c>
      <c r="AO11" s="88">
        <v>46037.77</v>
      </c>
      <c r="AP11" s="88">
        <v>48499.73</v>
      </c>
      <c r="AQ11" s="88">
        <v>0</v>
      </c>
      <c r="AR11" s="88">
        <v>0</v>
      </c>
      <c r="AS11" s="88">
        <v>0</v>
      </c>
      <c r="AT11" s="88">
        <v>0</v>
      </c>
      <c r="AU11" s="88"/>
      <c r="AV11" s="87">
        <f t="shared" si="7"/>
        <v>375216.37</v>
      </c>
      <c r="AW11" s="87">
        <f t="shared" si="8"/>
        <v>0</v>
      </c>
      <c r="AX11" s="82" t="s">
        <v>169</v>
      </c>
      <c r="AY11" s="95" t="s">
        <v>196</v>
      </c>
    </row>
    <row r="12" spans="1:51" x14ac:dyDescent="0.25">
      <c r="A12" s="32"/>
      <c r="B12" s="32"/>
      <c r="C12" s="76"/>
      <c r="D12" s="33"/>
      <c r="E12" s="33"/>
      <c r="F12" s="68"/>
      <c r="G12" s="35"/>
      <c r="H12" s="35"/>
      <c r="I12" s="45"/>
      <c r="J12" s="45"/>
      <c r="K12" s="36"/>
      <c r="L12" s="37">
        <f t="shared" ref="L12:AF12" si="10">SUM(L4:L11)</f>
        <v>36684261</v>
      </c>
      <c r="M12" s="37">
        <f t="shared" si="10"/>
        <v>0</v>
      </c>
      <c r="N12" s="37">
        <f t="shared" si="10"/>
        <v>0</v>
      </c>
      <c r="O12" s="37">
        <f t="shared" si="10"/>
        <v>36684261</v>
      </c>
      <c r="P12" s="37">
        <f t="shared" si="10"/>
        <v>0</v>
      </c>
      <c r="Q12" s="37">
        <f t="shared" si="10"/>
        <v>0</v>
      </c>
      <c r="R12" s="37">
        <f t="shared" si="10"/>
        <v>4618560</v>
      </c>
      <c r="S12" s="37">
        <f t="shared" si="10"/>
        <v>13339.4</v>
      </c>
      <c r="T12" s="37">
        <f t="shared" si="10"/>
        <v>0</v>
      </c>
      <c r="U12" s="37">
        <f t="shared" si="10"/>
        <v>0</v>
      </c>
      <c r="V12" s="37">
        <f t="shared" si="10"/>
        <v>4631899.4000000004</v>
      </c>
      <c r="W12" s="37">
        <f t="shared" si="10"/>
        <v>32052361.600000001</v>
      </c>
      <c r="X12" s="7">
        <f t="shared" si="10"/>
        <v>0</v>
      </c>
      <c r="Y12" s="7">
        <f t="shared" si="10"/>
        <v>0</v>
      </c>
      <c r="Z12" s="7">
        <f t="shared" si="10"/>
        <v>72614.459999999992</v>
      </c>
      <c r="AA12" s="7">
        <f t="shared" si="10"/>
        <v>2173608.09</v>
      </c>
      <c r="AB12" s="7">
        <f t="shared" si="10"/>
        <v>10664102.689999999</v>
      </c>
      <c r="AC12" s="7">
        <f t="shared" si="10"/>
        <v>2921442.91</v>
      </c>
      <c r="AD12" s="7">
        <f t="shared" si="10"/>
        <v>0</v>
      </c>
      <c r="AE12" s="37">
        <f t="shared" si="10"/>
        <v>15831768.150000002</v>
      </c>
      <c r="AF12" s="37">
        <f t="shared" si="10"/>
        <v>16220593.449999999</v>
      </c>
      <c r="AG12" s="34"/>
      <c r="AH12" s="90"/>
      <c r="AI12" s="90"/>
      <c r="AJ12" s="90"/>
      <c r="AK12" s="90"/>
      <c r="AL12" s="90"/>
      <c r="AM12" s="90"/>
      <c r="AN12" s="90"/>
      <c r="AO12" s="90"/>
      <c r="AP12" s="90"/>
      <c r="AQ12" s="90"/>
      <c r="AR12" s="90"/>
      <c r="AS12" s="90"/>
      <c r="AT12" s="90"/>
      <c r="AU12" s="90"/>
      <c r="AV12" s="90"/>
      <c r="AW12" s="90"/>
      <c r="AX12" s="79"/>
      <c r="AY12" s="79"/>
    </row>
    <row r="13" spans="1:51" x14ac:dyDescent="0.25">
      <c r="AC13" s="31"/>
    </row>
  </sheetData>
  <autoFilter ref="A1:AY12" xr:uid="{F74643B6-4C6D-4A1F-9BEF-51D8257C3299}">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autoFilter>
  <mergeCells count="2">
    <mergeCell ref="AH1:AW2"/>
    <mergeCell ref="AE2:AF2"/>
  </mergeCells>
  <hyperlinks>
    <hyperlink ref="C4" location="'400-23EIPRC01'!A1" display="23EIPRC01" xr:uid="{0044D91C-B3CD-4B08-8DFC-C53C70DD9D59}"/>
    <hyperlink ref="C7" location="'402-23HCAPD01'!A1" display="23HCAPD01" xr:uid="{2F43ADC0-AFBA-434E-913A-9818F8F37A5C}"/>
    <hyperlink ref="C8" location="'402-23INHSV01'!A1" display="23INHSV01" xr:uid="{18CD0194-49FE-40E9-9E76-45C8FA93D737}"/>
    <hyperlink ref="C10" location="'402-23RSBEX01'!A1" display="23RSBEX01" xr:uid="{7F60860B-D617-410A-BD81-D99E834F1D88}"/>
    <hyperlink ref="C11" location="'402-23SVNEX01'!A1" display="23SVNEX01" xr:uid="{64FB77B5-2183-44AC-83F5-A9305554589D}"/>
    <hyperlink ref="C5" location="'402-23CMSMI01'!A1" display="23CMSMI01" xr:uid="{F126BF69-A9E6-41C4-86EC-5D9E5F34814D}"/>
    <hyperlink ref="C6" location="'402-23FCWPL01'!A1" display="23FCWPL01" xr:uid="{541D3A0E-E49C-453F-A121-11DCE8BD0E08}"/>
    <hyperlink ref="C9" location="'402-23RFPCN01'!Print_Area" display="23RFPCN01" xr:uid="{041687F9-4F97-4740-AB10-5FA1BFB38C94}"/>
  </hyperlink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FE0BA-073D-41C6-A373-01EE5CBCAD36}">
  <dimension ref="A1:AZ71"/>
  <sheetViews>
    <sheetView topLeftCell="A2" workbookViewId="0"/>
  </sheetViews>
  <sheetFormatPr defaultColWidth="9.42578125" defaultRowHeight="15" x14ac:dyDescent="0.25"/>
  <cols>
    <col min="1" max="1" width="8.28515625" customWidth="1"/>
    <col min="2" max="2" width="7.7109375" customWidth="1"/>
    <col min="3" max="3" width="15.5703125" style="77" bestFit="1" customWidth="1"/>
    <col min="4" max="4" width="12.7109375" customWidth="1"/>
    <col min="5" max="5" width="15.7109375" style="39" customWidth="1"/>
    <col min="6" max="6" width="31.5703125" style="69" customWidth="1"/>
    <col min="7" max="7" width="11" customWidth="1"/>
    <col min="8" max="8" width="11.140625" customWidth="1"/>
    <col min="9" max="9" width="7.85546875" style="41" customWidth="1"/>
    <col min="10" max="10" width="8" style="41" customWidth="1"/>
    <col min="11" max="11" width="7.140625" hidden="1" customWidth="1"/>
    <col min="12" max="12" width="16.140625" hidden="1" customWidth="1"/>
    <col min="13" max="13" width="16.85546875" hidden="1" customWidth="1"/>
    <col min="14" max="14" width="14.5703125" hidden="1" customWidth="1"/>
    <col min="15" max="15" width="15.28515625" style="41" customWidth="1"/>
    <col min="16" max="17" width="16.140625" hidden="1" customWidth="1"/>
    <col min="18" max="18" width="16.140625" style="31" hidden="1" customWidth="1"/>
    <col min="19" max="20" width="16.140625" hidden="1" customWidth="1"/>
    <col min="21" max="21" width="15.5703125" hidden="1" customWidth="1"/>
    <col min="22" max="22" width="15" customWidth="1"/>
    <col min="23" max="23" width="17.7109375" customWidth="1"/>
    <col min="24" max="24" width="21.140625" hidden="1" customWidth="1"/>
    <col min="25" max="26" width="16.28515625" hidden="1" customWidth="1"/>
    <col min="27" max="27" width="16" hidden="1" customWidth="1"/>
    <col min="28" max="28" width="13.85546875" hidden="1" customWidth="1"/>
    <col min="29" max="29" width="15.28515625" hidden="1" customWidth="1"/>
    <col min="30" max="30" width="10.140625" hidden="1" customWidth="1"/>
    <col min="31" max="31" width="18.140625" customWidth="1"/>
    <col min="32" max="32" width="16.85546875" style="41" bestFit="1" customWidth="1"/>
    <col min="33" max="33" width="9.42578125" style="38"/>
    <col min="34" max="49" width="17" style="80" customWidth="1"/>
    <col min="50" max="50" width="25.85546875" style="80" customWidth="1"/>
    <col min="51" max="51" width="45.140625" style="80" customWidth="1"/>
    <col min="52" max="52" width="27.28515625" customWidth="1"/>
  </cols>
  <sheetData>
    <row r="1" spans="1:52" s="1" customFormat="1" ht="15" hidden="1" customHeight="1" x14ac:dyDescent="0.2">
      <c r="C1" s="70"/>
      <c r="E1" s="2"/>
      <c r="F1" s="65"/>
      <c r="I1" s="40"/>
      <c r="J1" s="40"/>
      <c r="L1" s="3" t="e">
        <f>#REF!</f>
        <v>#REF!</v>
      </c>
      <c r="M1" s="3" t="e">
        <f>#REF!</f>
        <v>#REF!</v>
      </c>
      <c r="N1" s="3" t="e">
        <f>#REF!</f>
        <v>#REF!</v>
      </c>
      <c r="O1" s="4" t="e">
        <f>#REF!</f>
        <v>#REF!</v>
      </c>
      <c r="P1" s="3" t="e">
        <f>#REF!</f>
        <v>#REF!</v>
      </c>
      <c r="Q1" s="3" t="e">
        <f>#REF!</f>
        <v>#REF!</v>
      </c>
      <c r="R1" s="3" t="e">
        <f>#REF!</f>
        <v>#REF!</v>
      </c>
      <c r="S1" s="3" t="e">
        <f>#REF!</f>
        <v>#REF!</v>
      </c>
      <c r="T1" s="3" t="e">
        <f>#REF!</f>
        <v>#REF!</v>
      </c>
      <c r="U1" s="3" t="e">
        <f>#REF!</f>
        <v>#REF!</v>
      </c>
      <c r="V1" s="3" t="e">
        <f>#REF!</f>
        <v>#REF!</v>
      </c>
      <c r="W1" s="3" t="e">
        <f>#REF!</f>
        <v>#REF!</v>
      </c>
      <c r="X1" s="3">
        <f t="shared" ref="X1:AD1" si="0">SUM(X4:X5)</f>
        <v>0</v>
      </c>
      <c r="Y1" s="3">
        <f t="shared" si="0"/>
        <v>0</v>
      </c>
      <c r="Z1" s="3">
        <f t="shared" si="0"/>
        <v>1241327.48</v>
      </c>
      <c r="AA1" s="3">
        <f t="shared" si="0"/>
        <v>15166787.34</v>
      </c>
      <c r="AB1" s="3">
        <f t="shared" si="0"/>
        <v>5053958.22</v>
      </c>
      <c r="AC1" s="3">
        <f t="shared" si="0"/>
        <v>4513475.8</v>
      </c>
      <c r="AD1" s="3">
        <f t="shared" si="0"/>
        <v>0</v>
      </c>
      <c r="AE1" s="3">
        <f>SUM(X1:AD1)</f>
        <v>25975548.84</v>
      </c>
      <c r="AF1" s="40"/>
      <c r="AG1" s="5"/>
      <c r="AH1" s="107" t="s">
        <v>0</v>
      </c>
      <c r="AI1" s="107"/>
      <c r="AJ1" s="107"/>
      <c r="AK1" s="107"/>
      <c r="AL1" s="107"/>
      <c r="AM1" s="107"/>
      <c r="AN1" s="107"/>
      <c r="AO1" s="107"/>
      <c r="AP1" s="107"/>
      <c r="AQ1" s="107"/>
      <c r="AR1" s="107"/>
      <c r="AS1" s="107"/>
      <c r="AT1" s="107"/>
      <c r="AU1" s="107"/>
      <c r="AV1" s="107"/>
      <c r="AW1" s="107"/>
      <c r="AX1" s="78"/>
      <c r="AY1" s="78"/>
    </row>
    <row r="2" spans="1:52" s="1" customFormat="1" ht="15" customHeight="1" thickBot="1" x14ac:dyDescent="0.3">
      <c r="C2" s="70"/>
      <c r="E2" s="2"/>
      <c r="F2" s="65"/>
      <c r="I2" s="40"/>
      <c r="J2" s="40"/>
      <c r="L2" s="3"/>
      <c r="M2" s="3"/>
      <c r="N2" s="3"/>
      <c r="O2" s="4"/>
      <c r="P2" s="3"/>
      <c r="Q2" s="3"/>
      <c r="R2" s="3"/>
      <c r="S2" s="3"/>
      <c r="T2" s="3"/>
      <c r="U2" s="3"/>
      <c r="V2" s="3"/>
      <c r="W2" s="3"/>
      <c r="X2" s="94" t="s">
        <v>1</v>
      </c>
      <c r="Y2" s="92"/>
      <c r="Z2" s="92"/>
      <c r="AA2" s="92"/>
      <c r="AB2" s="92"/>
      <c r="AC2" s="92"/>
      <c r="AD2" s="92"/>
      <c r="AE2" s="105" t="s">
        <v>2</v>
      </c>
      <c r="AF2" s="106"/>
      <c r="AG2" s="5"/>
      <c r="AH2" s="108"/>
      <c r="AI2" s="108"/>
      <c r="AJ2" s="108"/>
      <c r="AK2" s="108"/>
      <c r="AL2" s="108"/>
      <c r="AM2" s="108"/>
      <c r="AN2" s="108"/>
      <c r="AO2" s="108"/>
      <c r="AP2" s="108"/>
      <c r="AQ2" s="108"/>
      <c r="AR2" s="108"/>
      <c r="AS2" s="108"/>
      <c r="AT2" s="108"/>
      <c r="AU2" s="108"/>
      <c r="AV2" s="108"/>
      <c r="AW2" s="108"/>
      <c r="AX2" s="78"/>
      <c r="AY2" s="78"/>
    </row>
    <row r="3" spans="1:52" ht="125.1" customHeight="1" thickBot="1" x14ac:dyDescent="0.3">
      <c r="A3" s="49" t="s">
        <v>3</v>
      </c>
      <c r="B3" s="50" t="s">
        <v>4</v>
      </c>
      <c r="C3" s="51" t="s">
        <v>5</v>
      </c>
      <c r="D3" s="49" t="s">
        <v>6</v>
      </c>
      <c r="E3" s="52" t="s">
        <v>7</v>
      </c>
      <c r="F3" s="53" t="s">
        <v>8</v>
      </c>
      <c r="G3" s="54" t="s">
        <v>9</v>
      </c>
      <c r="H3" s="54" t="s">
        <v>10</v>
      </c>
      <c r="I3" s="54" t="s">
        <v>11</v>
      </c>
      <c r="J3" s="54" t="s">
        <v>12</v>
      </c>
      <c r="K3" s="54" t="s">
        <v>13</v>
      </c>
      <c r="L3" s="55" t="s">
        <v>14</v>
      </c>
      <c r="M3" s="56" t="s">
        <v>15</v>
      </c>
      <c r="N3" s="55" t="s">
        <v>16</v>
      </c>
      <c r="O3" s="55" t="s">
        <v>17</v>
      </c>
      <c r="P3" s="57" t="s">
        <v>18</v>
      </c>
      <c r="Q3" s="57" t="s">
        <v>19</v>
      </c>
      <c r="R3" s="57" t="s">
        <v>20</v>
      </c>
      <c r="S3" s="57" t="s">
        <v>21</v>
      </c>
      <c r="T3" s="57" t="s">
        <v>22</v>
      </c>
      <c r="U3" s="57" t="s">
        <v>23</v>
      </c>
      <c r="V3" s="57" t="s">
        <v>24</v>
      </c>
      <c r="W3" s="58" t="s">
        <v>25</v>
      </c>
      <c r="X3" s="93" t="s">
        <v>26</v>
      </c>
      <c r="Y3" s="93" t="s">
        <v>27</v>
      </c>
      <c r="Z3" s="93" t="s">
        <v>28</v>
      </c>
      <c r="AA3" s="93" t="s">
        <v>29</v>
      </c>
      <c r="AB3" s="93" t="s">
        <v>30</v>
      </c>
      <c r="AC3" s="93" t="s">
        <v>31</v>
      </c>
      <c r="AD3" s="93" t="s">
        <v>32</v>
      </c>
      <c r="AE3" s="59" t="s">
        <v>33</v>
      </c>
      <c r="AF3" s="60" t="s">
        <v>34</v>
      </c>
      <c r="AG3" s="61" t="s">
        <v>35</v>
      </c>
      <c r="AH3" s="84" t="s">
        <v>36</v>
      </c>
      <c r="AI3" s="91">
        <v>46037</v>
      </c>
      <c r="AJ3" s="91">
        <f>AI3+30</f>
        <v>46067</v>
      </c>
      <c r="AK3" s="91">
        <f t="shared" ref="AK3:AT3" si="1">AJ3+30</f>
        <v>46097</v>
      </c>
      <c r="AL3" s="91">
        <f t="shared" si="1"/>
        <v>46127</v>
      </c>
      <c r="AM3" s="91">
        <f t="shared" si="1"/>
        <v>46157</v>
      </c>
      <c r="AN3" s="91">
        <f t="shared" si="1"/>
        <v>46187</v>
      </c>
      <c r="AO3" s="91">
        <f t="shared" si="1"/>
        <v>46217</v>
      </c>
      <c r="AP3" s="91">
        <f t="shared" si="1"/>
        <v>46247</v>
      </c>
      <c r="AQ3" s="91">
        <f t="shared" si="1"/>
        <v>46277</v>
      </c>
      <c r="AR3" s="91">
        <f t="shared" si="1"/>
        <v>46307</v>
      </c>
      <c r="AS3" s="91">
        <f t="shared" si="1"/>
        <v>46337</v>
      </c>
      <c r="AT3" s="91">
        <f t="shared" si="1"/>
        <v>46367</v>
      </c>
      <c r="AU3" s="84" t="s">
        <v>37</v>
      </c>
      <c r="AV3" s="84" t="s">
        <v>38</v>
      </c>
      <c r="AW3" s="84" t="s">
        <v>39</v>
      </c>
      <c r="AX3" s="85" t="s">
        <v>40</v>
      </c>
      <c r="AY3" s="86" t="s">
        <v>41</v>
      </c>
    </row>
    <row r="4" spans="1:52" ht="147.75" customHeight="1" x14ac:dyDescent="0.25">
      <c r="A4" s="62" t="s">
        <v>42</v>
      </c>
      <c r="B4" s="62" t="s">
        <v>43</v>
      </c>
      <c r="C4" s="72" t="s">
        <v>48</v>
      </c>
      <c r="D4" s="63" t="s">
        <v>45</v>
      </c>
      <c r="E4" s="10" t="s">
        <v>46</v>
      </c>
      <c r="F4" s="66" t="s">
        <v>49</v>
      </c>
      <c r="G4" s="12">
        <v>44854</v>
      </c>
      <c r="H4" s="12">
        <v>46387</v>
      </c>
      <c r="I4" s="42">
        <v>3195</v>
      </c>
      <c r="J4" s="30">
        <v>39</v>
      </c>
      <c r="K4" s="13">
        <v>23</v>
      </c>
      <c r="L4" s="15">
        <v>15000000</v>
      </c>
      <c r="M4" s="19"/>
      <c r="N4" s="14"/>
      <c r="O4" s="14">
        <f t="shared" ref="O4" si="2">SUM(L4:N4)</f>
        <v>15000000</v>
      </c>
      <c r="P4" s="14"/>
      <c r="Q4" s="14"/>
      <c r="R4" s="14"/>
      <c r="S4" s="14"/>
      <c r="T4" s="14"/>
      <c r="U4" s="14"/>
      <c r="V4" s="19">
        <f t="shared" ref="V4" si="3">SUM(P4:U4)</f>
        <v>0</v>
      </c>
      <c r="W4" s="15">
        <f t="shared" ref="W4" si="4">L4-V4+M4+N4</f>
        <v>15000000</v>
      </c>
      <c r="X4" s="8"/>
      <c r="Y4" s="8"/>
      <c r="Z4" s="8">
        <v>620663.74</v>
      </c>
      <c r="AA4" s="8">
        <v>7583393.6699999999</v>
      </c>
      <c r="AB4" s="8">
        <v>2526979.11</v>
      </c>
      <c r="AC4" s="8">
        <v>2256737.9</v>
      </c>
      <c r="AD4" s="8"/>
      <c r="AE4" s="14">
        <f t="shared" ref="AE4" si="5">SUM(X4:AD4)</f>
        <v>12987774.42</v>
      </c>
      <c r="AF4" s="15">
        <f t="shared" ref="AF4" si="6">W4-AE4</f>
        <v>2012225.58</v>
      </c>
      <c r="AG4" s="46">
        <f t="shared" ref="AG4" si="7">AE4/W4</f>
        <v>0.86585162800000004</v>
      </c>
      <c r="AH4" s="88">
        <v>709747.77</v>
      </c>
      <c r="AI4" s="88">
        <v>95434.16</v>
      </c>
      <c r="AJ4" s="88">
        <v>533944.16999999993</v>
      </c>
      <c r="AK4" s="88">
        <v>107717.08</v>
      </c>
      <c r="AL4" s="88">
        <v>107717.08</v>
      </c>
      <c r="AM4" s="88">
        <v>107717.08</v>
      </c>
      <c r="AN4" s="88">
        <v>97717.08</v>
      </c>
      <c r="AO4" s="88">
        <v>97717.08</v>
      </c>
      <c r="AP4" s="88">
        <v>88063.08</v>
      </c>
      <c r="AQ4" s="88">
        <v>66451</v>
      </c>
      <c r="AR4" s="88"/>
      <c r="AS4" s="88"/>
      <c r="AT4" s="88"/>
      <c r="AU4" s="88"/>
      <c r="AV4" s="87">
        <f t="shared" ref="AV4" si="8">SUM(AH4:AU4)</f>
        <v>2012225.5800000005</v>
      </c>
      <c r="AW4" s="87">
        <f t="shared" ref="AW4" si="9">AV4-AF4</f>
        <v>0</v>
      </c>
      <c r="AX4" s="82" t="s">
        <v>216</v>
      </c>
      <c r="AY4" s="95" t="s">
        <v>173</v>
      </c>
      <c r="AZ4" s="103"/>
    </row>
    <row r="5" spans="1:52" ht="15.6" customHeight="1" x14ac:dyDescent="0.25">
      <c r="A5" s="32"/>
      <c r="B5" s="32"/>
      <c r="C5" s="76"/>
      <c r="D5" s="33"/>
      <c r="E5" s="33"/>
      <c r="F5" s="68"/>
      <c r="G5" s="35"/>
      <c r="H5" s="35"/>
      <c r="I5" s="45"/>
      <c r="J5" s="45"/>
      <c r="K5" s="36"/>
      <c r="L5" s="37">
        <f t="shared" ref="L5:AF5" si="10">SUM(L4:L4)</f>
        <v>15000000</v>
      </c>
      <c r="M5" s="37">
        <f t="shared" si="10"/>
        <v>0</v>
      </c>
      <c r="N5" s="37">
        <f t="shared" si="10"/>
        <v>0</v>
      </c>
      <c r="O5" s="37">
        <f t="shared" si="10"/>
        <v>15000000</v>
      </c>
      <c r="P5" s="37">
        <f t="shared" si="10"/>
        <v>0</v>
      </c>
      <c r="Q5" s="37">
        <f t="shared" si="10"/>
        <v>0</v>
      </c>
      <c r="R5" s="37">
        <f t="shared" si="10"/>
        <v>0</v>
      </c>
      <c r="S5" s="37">
        <f t="shared" si="10"/>
        <v>0</v>
      </c>
      <c r="T5" s="37">
        <f t="shared" si="10"/>
        <v>0</v>
      </c>
      <c r="U5" s="37">
        <f t="shared" si="10"/>
        <v>0</v>
      </c>
      <c r="V5" s="37">
        <f t="shared" si="10"/>
        <v>0</v>
      </c>
      <c r="W5" s="37">
        <f t="shared" si="10"/>
        <v>15000000</v>
      </c>
      <c r="X5" s="7">
        <f t="shared" si="10"/>
        <v>0</v>
      </c>
      <c r="Y5" s="7">
        <f t="shared" si="10"/>
        <v>0</v>
      </c>
      <c r="Z5" s="7">
        <f t="shared" si="10"/>
        <v>620663.74</v>
      </c>
      <c r="AA5" s="7">
        <f t="shared" si="10"/>
        <v>7583393.6699999999</v>
      </c>
      <c r="AB5" s="7">
        <f t="shared" si="10"/>
        <v>2526979.11</v>
      </c>
      <c r="AC5" s="7">
        <f t="shared" si="10"/>
        <v>2256737.9</v>
      </c>
      <c r="AD5" s="7">
        <f t="shared" si="10"/>
        <v>0</v>
      </c>
      <c r="AE5" s="37">
        <f t="shared" si="10"/>
        <v>12987774.42</v>
      </c>
      <c r="AF5" s="37">
        <f t="shared" si="10"/>
        <v>2012225.58</v>
      </c>
      <c r="AG5" s="34"/>
      <c r="AH5" s="90"/>
      <c r="AI5" s="90"/>
      <c r="AJ5" s="90"/>
      <c r="AK5" s="90"/>
      <c r="AL5" s="90"/>
      <c r="AM5" s="90"/>
      <c r="AN5" s="90"/>
      <c r="AO5" s="90"/>
      <c r="AP5" s="90"/>
      <c r="AQ5" s="90"/>
      <c r="AR5" s="90"/>
      <c r="AS5" s="90"/>
      <c r="AT5" s="90"/>
      <c r="AU5" s="90"/>
      <c r="AV5" s="90"/>
      <c r="AW5" s="90"/>
      <c r="AX5" s="79"/>
      <c r="AY5" s="79"/>
    </row>
    <row r="6" spans="1:52" ht="15" customHeight="1" x14ac:dyDescent="0.25">
      <c r="AC6" s="31"/>
    </row>
    <row r="7" spans="1:52" ht="15" customHeight="1" x14ac:dyDescent="0.25"/>
    <row r="8" spans="1:52" ht="15" customHeight="1" x14ac:dyDescent="0.25"/>
    <row r="9" spans="1:52" ht="15" customHeight="1" x14ac:dyDescent="0.25"/>
    <row r="10" spans="1:52" ht="15" customHeight="1" x14ac:dyDescent="0.25"/>
    <row r="11" spans="1:52" ht="15" customHeight="1" x14ac:dyDescent="0.25"/>
    <row r="12" spans="1:52" ht="15" customHeight="1" x14ac:dyDescent="0.25"/>
    <row r="13" spans="1:52" ht="15" customHeight="1" x14ac:dyDescent="0.25"/>
    <row r="14" spans="1:52" ht="15" customHeight="1" x14ac:dyDescent="0.25"/>
    <row r="15" spans="1:52" ht="15" customHeight="1" x14ac:dyDescent="0.25"/>
    <row r="16" spans="1:5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sheetData>
  <mergeCells count="2">
    <mergeCell ref="AH1:AW2"/>
    <mergeCell ref="AE2:AF2"/>
  </mergeCells>
  <hyperlinks>
    <hyperlink ref="C4" location="'400-23NVTRI01'!A1" display="23NVTRI01" xr:uid="{0E67C020-51BE-4577-8F2C-09AABBAD1D7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8C694-7066-42F6-8B16-63FC90C2209B}">
  <dimension ref="A1:AY21"/>
  <sheetViews>
    <sheetView tabSelected="1" topLeftCell="AR16" workbookViewId="0">
      <selection activeCell="AY19" sqref="AY19"/>
    </sheetView>
  </sheetViews>
  <sheetFormatPr defaultColWidth="9.42578125" defaultRowHeight="15" x14ac:dyDescent="0.25"/>
  <cols>
    <col min="1" max="1" width="8.28515625" customWidth="1"/>
    <col min="2" max="2" width="7.7109375" customWidth="1"/>
    <col min="3" max="3" width="15.5703125" style="77" bestFit="1" customWidth="1"/>
    <col min="4" max="4" width="12.7109375" customWidth="1"/>
    <col min="5" max="5" width="15.7109375" style="39" customWidth="1"/>
    <col min="6" max="6" width="31.5703125" style="69" customWidth="1"/>
    <col min="7" max="7" width="11" customWidth="1"/>
    <col min="8" max="8" width="11.140625" customWidth="1"/>
    <col min="9" max="9" width="7.85546875" style="41" customWidth="1"/>
    <col min="10" max="10" width="8" style="41" customWidth="1"/>
    <col min="11" max="11" width="7.140625" hidden="1" customWidth="1"/>
    <col min="12" max="12" width="16.140625" hidden="1" customWidth="1"/>
    <col min="13" max="13" width="16.85546875" hidden="1" customWidth="1"/>
    <col min="14" max="14" width="14.5703125" hidden="1" customWidth="1"/>
    <col min="15" max="15" width="15.28515625" style="41" customWidth="1"/>
    <col min="16" max="17" width="16.140625" hidden="1" customWidth="1"/>
    <col min="18" max="18" width="16.140625" style="31" hidden="1" customWidth="1"/>
    <col min="19" max="20" width="16.140625" hidden="1" customWidth="1"/>
    <col min="21" max="21" width="15.5703125" hidden="1" customWidth="1"/>
    <col min="22" max="22" width="15" customWidth="1"/>
    <col min="23" max="23" width="17.7109375" customWidth="1"/>
    <col min="24" max="24" width="21.140625" hidden="1" customWidth="1"/>
    <col min="25" max="26" width="16.28515625" hidden="1" customWidth="1"/>
    <col min="27" max="27" width="16" hidden="1" customWidth="1"/>
    <col min="28" max="28" width="13.85546875" hidden="1" customWidth="1"/>
    <col min="29" max="29" width="15.28515625" hidden="1" customWidth="1"/>
    <col min="30" max="30" width="10.140625" hidden="1" customWidth="1"/>
    <col min="31" max="31" width="18.140625" customWidth="1"/>
    <col min="32" max="32" width="16.85546875" style="41" customWidth="1"/>
    <col min="33" max="33" width="9.42578125" style="38" customWidth="1"/>
    <col min="34" max="49" width="17" style="80" customWidth="1"/>
    <col min="50" max="50" width="25.85546875" style="80" customWidth="1"/>
    <col min="51" max="51" width="45.140625" style="101" customWidth="1"/>
  </cols>
  <sheetData>
    <row r="1" spans="1:51" s="1" customFormat="1" ht="12.75" thickBot="1" x14ac:dyDescent="0.25">
      <c r="C1" s="70"/>
      <c r="E1" s="2"/>
      <c r="F1" s="65"/>
      <c r="I1" s="40"/>
      <c r="J1" s="40"/>
      <c r="L1" s="3" t="e">
        <f>#REF!</f>
        <v>#REF!</v>
      </c>
      <c r="M1" s="3" t="e">
        <f>#REF!</f>
        <v>#REF!</v>
      </c>
      <c r="N1" s="3" t="e">
        <f>#REF!</f>
        <v>#REF!</v>
      </c>
      <c r="O1" s="4" t="e">
        <f>#REF!</f>
        <v>#REF!</v>
      </c>
      <c r="P1" s="3" t="e">
        <f>#REF!</f>
        <v>#REF!</v>
      </c>
      <c r="Q1" s="3" t="e">
        <f>#REF!</f>
        <v>#REF!</v>
      </c>
      <c r="R1" s="3" t="e">
        <f>#REF!</f>
        <v>#REF!</v>
      </c>
      <c r="S1" s="3" t="e">
        <f>#REF!</f>
        <v>#REF!</v>
      </c>
      <c r="T1" s="3" t="e">
        <f>#REF!</f>
        <v>#REF!</v>
      </c>
      <c r="U1" s="3" t="e">
        <f>#REF!</f>
        <v>#REF!</v>
      </c>
      <c r="V1" s="3" t="e">
        <f>#REF!</f>
        <v>#REF!</v>
      </c>
      <c r="W1" s="3" t="e">
        <f>#REF!</f>
        <v>#REF!</v>
      </c>
      <c r="X1" s="3">
        <f t="shared" ref="X1:AD1" si="0">SUM(X4:X20)</f>
        <v>0</v>
      </c>
      <c r="Y1" s="3">
        <f t="shared" si="0"/>
        <v>0</v>
      </c>
      <c r="Z1" s="3">
        <f t="shared" si="0"/>
        <v>10372119.100000001</v>
      </c>
      <c r="AA1" s="3">
        <f t="shared" si="0"/>
        <v>38054506.539999999</v>
      </c>
      <c r="AB1" s="3">
        <f t="shared" si="0"/>
        <v>57207032.639999993</v>
      </c>
      <c r="AC1" s="3">
        <f t="shared" si="0"/>
        <v>24129380.459999997</v>
      </c>
      <c r="AD1" s="3">
        <f t="shared" si="0"/>
        <v>0</v>
      </c>
      <c r="AE1" s="3">
        <f>SUM(X1:AD1)</f>
        <v>129763038.73999999</v>
      </c>
      <c r="AF1" s="40"/>
      <c r="AG1" s="5"/>
      <c r="AH1" s="107" t="s">
        <v>0</v>
      </c>
      <c r="AI1" s="107"/>
      <c r="AJ1" s="107"/>
      <c r="AK1" s="107"/>
      <c r="AL1" s="107"/>
      <c r="AM1" s="107"/>
      <c r="AN1" s="107"/>
      <c r="AO1" s="107"/>
      <c r="AP1" s="107"/>
      <c r="AQ1" s="107"/>
      <c r="AR1" s="107"/>
      <c r="AS1" s="107"/>
      <c r="AT1" s="107"/>
      <c r="AU1" s="107"/>
      <c r="AV1" s="107"/>
      <c r="AW1" s="107"/>
      <c r="AX1" s="78"/>
      <c r="AY1" s="100"/>
    </row>
    <row r="2" spans="1:51" s="1" customFormat="1" ht="16.5" thickBot="1" x14ac:dyDescent="0.3">
      <c r="C2" s="70"/>
      <c r="E2" s="2"/>
      <c r="F2" s="65"/>
      <c r="I2" s="40"/>
      <c r="J2" s="40"/>
      <c r="L2" s="3"/>
      <c r="M2" s="3"/>
      <c r="N2" s="3"/>
      <c r="O2" s="4"/>
      <c r="P2" s="3"/>
      <c r="Q2" s="3"/>
      <c r="R2" s="3"/>
      <c r="S2" s="3"/>
      <c r="T2" s="3"/>
      <c r="U2" s="3"/>
      <c r="V2" s="3"/>
      <c r="W2" s="3"/>
      <c r="X2" s="94" t="s">
        <v>1</v>
      </c>
      <c r="Y2" s="92"/>
      <c r="Z2" s="92"/>
      <c r="AA2" s="92"/>
      <c r="AB2" s="92"/>
      <c r="AC2" s="92"/>
      <c r="AD2" s="92"/>
      <c r="AE2" s="105" t="s">
        <v>2</v>
      </c>
      <c r="AF2" s="106"/>
      <c r="AG2" s="5"/>
      <c r="AH2" s="108"/>
      <c r="AI2" s="108"/>
      <c r="AJ2" s="108"/>
      <c r="AK2" s="108"/>
      <c r="AL2" s="108"/>
      <c r="AM2" s="108"/>
      <c r="AN2" s="108"/>
      <c r="AO2" s="108"/>
      <c r="AP2" s="108"/>
      <c r="AQ2" s="108"/>
      <c r="AR2" s="108"/>
      <c r="AS2" s="108"/>
      <c r="AT2" s="108"/>
      <c r="AU2" s="108"/>
      <c r="AV2" s="108"/>
      <c r="AW2" s="108"/>
      <c r="AX2" s="78"/>
      <c r="AY2" s="100"/>
    </row>
    <row r="3" spans="1:51" ht="64.5" thickBot="1" x14ac:dyDescent="0.3">
      <c r="A3" s="49" t="s">
        <v>3</v>
      </c>
      <c r="B3" s="50" t="s">
        <v>4</v>
      </c>
      <c r="C3" s="51" t="s">
        <v>5</v>
      </c>
      <c r="D3" s="49" t="s">
        <v>6</v>
      </c>
      <c r="E3" s="52" t="s">
        <v>7</v>
      </c>
      <c r="F3" s="53" t="s">
        <v>8</v>
      </c>
      <c r="G3" s="54" t="s">
        <v>9</v>
      </c>
      <c r="H3" s="54" t="s">
        <v>10</v>
      </c>
      <c r="I3" s="54" t="s">
        <v>11</v>
      </c>
      <c r="J3" s="54" t="s">
        <v>12</v>
      </c>
      <c r="K3" s="54" t="s">
        <v>13</v>
      </c>
      <c r="L3" s="55" t="s">
        <v>14</v>
      </c>
      <c r="M3" s="56" t="s">
        <v>15</v>
      </c>
      <c r="N3" s="55" t="s">
        <v>16</v>
      </c>
      <c r="O3" s="55" t="s">
        <v>17</v>
      </c>
      <c r="P3" s="57" t="s">
        <v>18</v>
      </c>
      <c r="Q3" s="57" t="s">
        <v>19</v>
      </c>
      <c r="R3" s="57" t="s">
        <v>20</v>
      </c>
      <c r="S3" s="57" t="s">
        <v>21</v>
      </c>
      <c r="T3" s="57" t="s">
        <v>22</v>
      </c>
      <c r="U3" s="57" t="s">
        <v>23</v>
      </c>
      <c r="V3" s="57" t="s">
        <v>24</v>
      </c>
      <c r="W3" s="58" t="s">
        <v>25</v>
      </c>
      <c r="X3" s="93" t="s">
        <v>26</v>
      </c>
      <c r="Y3" s="93" t="s">
        <v>27</v>
      </c>
      <c r="Z3" s="93" t="s">
        <v>28</v>
      </c>
      <c r="AA3" s="93" t="s">
        <v>29</v>
      </c>
      <c r="AB3" s="93" t="s">
        <v>30</v>
      </c>
      <c r="AC3" s="93" t="s">
        <v>31</v>
      </c>
      <c r="AD3" s="93" t="s">
        <v>32</v>
      </c>
      <c r="AE3" s="59" t="s">
        <v>33</v>
      </c>
      <c r="AF3" s="60" t="s">
        <v>34</v>
      </c>
      <c r="AG3" s="61" t="s">
        <v>35</v>
      </c>
      <c r="AH3" s="84" t="s">
        <v>36</v>
      </c>
      <c r="AI3" s="91">
        <v>46037</v>
      </c>
      <c r="AJ3" s="91">
        <f>AI3+30</f>
        <v>46067</v>
      </c>
      <c r="AK3" s="91">
        <f t="shared" ref="AK3:AT3" si="1">AJ3+30</f>
        <v>46097</v>
      </c>
      <c r="AL3" s="91">
        <f t="shared" si="1"/>
        <v>46127</v>
      </c>
      <c r="AM3" s="91">
        <f t="shared" si="1"/>
        <v>46157</v>
      </c>
      <c r="AN3" s="91">
        <f t="shared" si="1"/>
        <v>46187</v>
      </c>
      <c r="AO3" s="91">
        <f t="shared" si="1"/>
        <v>46217</v>
      </c>
      <c r="AP3" s="91">
        <f t="shared" si="1"/>
        <v>46247</v>
      </c>
      <c r="AQ3" s="91">
        <f t="shared" si="1"/>
        <v>46277</v>
      </c>
      <c r="AR3" s="91">
        <f t="shared" si="1"/>
        <v>46307</v>
      </c>
      <c r="AS3" s="91">
        <f t="shared" si="1"/>
        <v>46337</v>
      </c>
      <c r="AT3" s="91">
        <f t="shared" si="1"/>
        <v>46367</v>
      </c>
      <c r="AU3" s="84" t="s">
        <v>37</v>
      </c>
      <c r="AV3" s="84" t="s">
        <v>38</v>
      </c>
      <c r="AW3" s="84" t="s">
        <v>39</v>
      </c>
      <c r="AX3" s="85" t="s">
        <v>40</v>
      </c>
      <c r="AY3" s="86" t="s">
        <v>41</v>
      </c>
    </row>
    <row r="4" spans="1:51" ht="76.5" x14ac:dyDescent="0.25">
      <c r="A4" s="62" t="s">
        <v>77</v>
      </c>
      <c r="B4" s="62" t="s">
        <v>78</v>
      </c>
      <c r="C4" s="72" t="s">
        <v>79</v>
      </c>
      <c r="D4" s="63" t="s">
        <v>80</v>
      </c>
      <c r="E4" s="10" t="s">
        <v>46</v>
      </c>
      <c r="F4" s="66" t="s">
        <v>81</v>
      </c>
      <c r="G4" s="12">
        <v>44686</v>
      </c>
      <c r="H4" s="12">
        <v>46203</v>
      </c>
      <c r="I4" s="30">
        <v>3223</v>
      </c>
      <c r="J4" s="30">
        <v>19</v>
      </c>
      <c r="K4" s="13">
        <v>24</v>
      </c>
      <c r="L4" s="15">
        <v>477606</v>
      </c>
      <c r="M4" s="19"/>
      <c r="N4" s="14"/>
      <c r="O4" s="14">
        <f t="shared" ref="O4:O19" si="2">SUM(L4:N4)</f>
        <v>477606</v>
      </c>
      <c r="P4" s="14"/>
      <c r="Q4" s="14"/>
      <c r="R4" s="14"/>
      <c r="S4" s="14"/>
      <c r="T4" s="14"/>
      <c r="U4" s="14"/>
      <c r="V4" s="19">
        <f t="shared" ref="V4:V19" si="3">SUM(P4:U4)</f>
        <v>0</v>
      </c>
      <c r="W4" s="15">
        <f t="shared" ref="W4:W19" si="4">L4-V4+M4+N4</f>
        <v>477606</v>
      </c>
      <c r="X4" s="8"/>
      <c r="Y4" s="8"/>
      <c r="Z4" s="8">
        <v>326628</v>
      </c>
      <c r="AA4" s="8">
        <v>60282</v>
      </c>
      <c r="AB4" s="8">
        <v>39664.199999999997</v>
      </c>
      <c r="AC4" s="8">
        <v>120</v>
      </c>
      <c r="AD4" s="8"/>
      <c r="AE4" s="14">
        <f t="shared" ref="AE4:AE19" si="5">SUM(X4:AD4)</f>
        <v>426694.2</v>
      </c>
      <c r="AF4" s="15">
        <f t="shared" ref="AF4:AF19" si="6">W4-AE4</f>
        <v>50911.799999999988</v>
      </c>
      <c r="AG4" s="46">
        <f t="shared" ref="AG4:AG19" si="7">AE4/W4</f>
        <v>0.8934020929385309</v>
      </c>
      <c r="AH4" s="88" t="s">
        <v>46</v>
      </c>
      <c r="AI4" s="88">
        <v>8485.2999999999993</v>
      </c>
      <c r="AJ4" s="88">
        <v>8485.2999999999993</v>
      </c>
      <c r="AK4" s="88">
        <v>8485.2999999999993</v>
      </c>
      <c r="AL4" s="88">
        <v>8485.2999999999993</v>
      </c>
      <c r="AM4" s="88">
        <v>8485.2999999999993</v>
      </c>
      <c r="AN4" s="88">
        <v>8485.2999999999993</v>
      </c>
      <c r="AO4" s="88" t="s">
        <v>174</v>
      </c>
      <c r="AP4" s="99" t="s">
        <v>174</v>
      </c>
      <c r="AQ4" s="99" t="s">
        <v>174</v>
      </c>
      <c r="AR4" s="99" t="s">
        <v>174</v>
      </c>
      <c r="AS4" s="99" t="s">
        <v>174</v>
      </c>
      <c r="AT4" s="99" t="s">
        <v>174</v>
      </c>
      <c r="AU4" s="88"/>
      <c r="AV4" s="87">
        <f t="shared" ref="AV4:AV19" si="8">SUM(AH4:AU4)</f>
        <v>50911.8</v>
      </c>
      <c r="AW4" s="87">
        <f t="shared" ref="AW4:AW19" si="9">AV4-AF4</f>
        <v>0</v>
      </c>
      <c r="AX4" s="82" t="s">
        <v>175</v>
      </c>
      <c r="AY4" s="102" t="s">
        <v>176</v>
      </c>
    </row>
    <row r="5" spans="1:51" ht="64.5" x14ac:dyDescent="0.25">
      <c r="A5" s="62" t="s">
        <v>77</v>
      </c>
      <c r="B5" s="62" t="s">
        <v>78</v>
      </c>
      <c r="C5" s="71" t="s">
        <v>82</v>
      </c>
      <c r="D5" s="63" t="s">
        <v>80</v>
      </c>
      <c r="E5" s="10" t="s">
        <v>46</v>
      </c>
      <c r="F5" s="66" t="s">
        <v>83</v>
      </c>
      <c r="G5" s="12">
        <v>45108</v>
      </c>
      <c r="H5" s="12">
        <v>46477</v>
      </c>
      <c r="I5" s="30">
        <v>3223</v>
      </c>
      <c r="J5" s="42" t="s">
        <v>84</v>
      </c>
      <c r="K5" s="13">
        <v>24</v>
      </c>
      <c r="L5" s="15">
        <f>284159+268286</f>
        <v>552445</v>
      </c>
      <c r="M5" s="19">
        <v>404873</v>
      </c>
      <c r="N5" s="14"/>
      <c r="O5" s="14">
        <f t="shared" si="2"/>
        <v>957318</v>
      </c>
      <c r="P5" s="17"/>
      <c r="Q5" s="17"/>
      <c r="R5" s="14"/>
      <c r="S5" s="14"/>
      <c r="T5" s="14"/>
      <c r="U5" s="14"/>
      <c r="V5" s="19">
        <f t="shared" si="3"/>
        <v>0</v>
      </c>
      <c r="W5" s="15">
        <f t="shared" si="4"/>
        <v>957318</v>
      </c>
      <c r="X5" s="8"/>
      <c r="Y5" s="8"/>
      <c r="Z5" s="8"/>
      <c r="AA5" s="8">
        <v>249208.08</v>
      </c>
      <c r="AB5" s="8">
        <v>252955.18</v>
      </c>
      <c r="AC5" s="8">
        <v>123460.88</v>
      </c>
      <c r="AD5" s="8"/>
      <c r="AE5" s="14">
        <f t="shared" si="5"/>
        <v>625624.14</v>
      </c>
      <c r="AF5" s="15">
        <f t="shared" si="6"/>
        <v>331693.86</v>
      </c>
      <c r="AG5" s="46">
        <f t="shared" si="7"/>
        <v>0.65351757723139026</v>
      </c>
      <c r="AH5" s="88" t="s">
        <v>46</v>
      </c>
      <c r="AI5" s="88">
        <v>57650.45</v>
      </c>
      <c r="AJ5" s="88">
        <v>24913.040000000001</v>
      </c>
      <c r="AK5" s="88">
        <v>24913.040000000001</v>
      </c>
      <c r="AL5" s="88">
        <v>24913.040000000001</v>
      </c>
      <c r="AM5" s="88">
        <v>24913.040000000001</v>
      </c>
      <c r="AN5" s="88">
        <v>24913.040000000001</v>
      </c>
      <c r="AO5" s="88">
        <v>24913.040000000001</v>
      </c>
      <c r="AP5" s="88">
        <v>24913.040000000001</v>
      </c>
      <c r="AQ5" s="88">
        <v>24913.040000000001</v>
      </c>
      <c r="AR5" s="88">
        <v>24913.040000000001</v>
      </c>
      <c r="AS5" s="88">
        <v>24913.040000000001</v>
      </c>
      <c r="AT5" s="88">
        <v>24913.01</v>
      </c>
      <c r="AU5" s="88"/>
      <c r="AV5" s="87">
        <f t="shared" si="8"/>
        <v>331693.86000000004</v>
      </c>
      <c r="AW5" s="87">
        <f t="shared" si="9"/>
        <v>0</v>
      </c>
      <c r="AX5" s="82" t="s">
        <v>175</v>
      </c>
      <c r="AY5" s="95" t="s">
        <v>177</v>
      </c>
    </row>
    <row r="6" spans="1:51" ht="178.5" x14ac:dyDescent="0.25">
      <c r="A6" s="62" t="s">
        <v>77</v>
      </c>
      <c r="B6" s="62" t="s">
        <v>78</v>
      </c>
      <c r="C6" s="72" t="s">
        <v>85</v>
      </c>
      <c r="D6" s="63" t="s">
        <v>80</v>
      </c>
      <c r="E6" s="10" t="s">
        <v>46</v>
      </c>
      <c r="F6" s="66" t="s">
        <v>86</v>
      </c>
      <c r="G6" s="12">
        <v>44854</v>
      </c>
      <c r="H6" s="12">
        <v>46387</v>
      </c>
      <c r="I6" s="42">
        <v>3219</v>
      </c>
      <c r="J6" s="30">
        <v>34</v>
      </c>
      <c r="K6" s="13">
        <v>33</v>
      </c>
      <c r="L6" s="15">
        <v>5000000</v>
      </c>
      <c r="M6" s="19"/>
      <c r="N6" s="14"/>
      <c r="O6" s="14">
        <f t="shared" si="2"/>
        <v>5000000</v>
      </c>
      <c r="P6" s="14"/>
      <c r="Q6" s="14"/>
      <c r="R6" s="14"/>
      <c r="S6" s="14"/>
      <c r="T6" s="14"/>
      <c r="U6" s="14"/>
      <c r="V6" s="19">
        <f t="shared" si="3"/>
        <v>0</v>
      </c>
      <c r="W6" s="15">
        <f t="shared" si="4"/>
        <v>5000000</v>
      </c>
      <c r="X6" s="8"/>
      <c r="Y6" s="8"/>
      <c r="Z6" s="8">
        <v>5642.56</v>
      </c>
      <c r="AA6" s="8">
        <v>191705.75</v>
      </c>
      <c r="AB6" s="8">
        <v>1516993.51</v>
      </c>
      <c r="AC6" s="8">
        <v>698848.24</v>
      </c>
      <c r="AD6" s="8"/>
      <c r="AE6" s="14">
        <f t="shared" si="5"/>
        <v>2413190.06</v>
      </c>
      <c r="AF6" s="15">
        <f t="shared" si="6"/>
        <v>2586809.94</v>
      </c>
      <c r="AG6" s="46">
        <f t="shared" si="7"/>
        <v>0.48263801200000001</v>
      </c>
      <c r="AH6" s="88" t="s">
        <v>46</v>
      </c>
      <c r="AI6" s="88">
        <v>186132.26</v>
      </c>
      <c r="AJ6" s="88">
        <v>237554.2</v>
      </c>
      <c r="AK6" s="88">
        <v>326139.26</v>
      </c>
      <c r="AL6" s="88">
        <v>190092.26</v>
      </c>
      <c r="AM6" s="88">
        <v>186132.26</v>
      </c>
      <c r="AN6" s="88">
        <v>202423.75</v>
      </c>
      <c r="AO6" s="88">
        <v>288465.89</v>
      </c>
      <c r="AP6" s="88">
        <v>341854.92</v>
      </c>
      <c r="AQ6" s="88">
        <v>177988.62</v>
      </c>
      <c r="AR6" s="88">
        <v>264410.88</v>
      </c>
      <c r="AS6" s="88">
        <v>185615.64</v>
      </c>
      <c r="AT6" s="88" t="s">
        <v>174</v>
      </c>
      <c r="AU6" s="88"/>
      <c r="AV6" s="87">
        <f t="shared" si="8"/>
        <v>2586809.94</v>
      </c>
      <c r="AW6" s="87">
        <f t="shared" si="9"/>
        <v>0</v>
      </c>
      <c r="AX6" s="82" t="s">
        <v>175</v>
      </c>
      <c r="AY6" s="102" t="s">
        <v>212</v>
      </c>
    </row>
    <row r="7" spans="1:51" s="18" customFormat="1" ht="38.25" x14ac:dyDescent="0.25">
      <c r="A7" s="62" t="s">
        <v>77</v>
      </c>
      <c r="B7" s="62" t="s">
        <v>78</v>
      </c>
      <c r="C7" s="72" t="s">
        <v>87</v>
      </c>
      <c r="D7" s="63" t="s">
        <v>80</v>
      </c>
      <c r="E7" s="11" t="s">
        <v>46</v>
      </c>
      <c r="F7" s="67" t="s">
        <v>88</v>
      </c>
      <c r="G7" s="23">
        <v>44743</v>
      </c>
      <c r="H7" s="23">
        <v>46203</v>
      </c>
      <c r="I7" s="44">
        <v>3165</v>
      </c>
      <c r="J7" s="43">
        <v>63</v>
      </c>
      <c r="K7" s="24">
        <v>29</v>
      </c>
      <c r="L7" s="25">
        <v>20000000</v>
      </c>
      <c r="M7" s="22"/>
      <c r="N7" s="22"/>
      <c r="O7" s="22">
        <f t="shared" si="2"/>
        <v>20000000</v>
      </c>
      <c r="P7" s="22">
        <v>0</v>
      </c>
      <c r="Q7" s="22">
        <v>0</v>
      </c>
      <c r="R7" s="22">
        <v>5000000</v>
      </c>
      <c r="S7" s="22"/>
      <c r="T7" s="22"/>
      <c r="U7" s="22"/>
      <c r="V7" s="22">
        <f t="shared" si="3"/>
        <v>5000000</v>
      </c>
      <c r="W7" s="25">
        <f t="shared" si="4"/>
        <v>15000000</v>
      </c>
      <c r="X7" s="8"/>
      <c r="Y7" s="8"/>
      <c r="Z7" s="8">
        <v>4669.1000000000004</v>
      </c>
      <c r="AA7" s="8">
        <v>10780348.58</v>
      </c>
      <c r="AB7" s="8">
        <v>3123414.75</v>
      </c>
      <c r="AC7" s="8">
        <v>0</v>
      </c>
      <c r="AD7" s="8"/>
      <c r="AE7" s="22">
        <f t="shared" si="5"/>
        <v>13908432.43</v>
      </c>
      <c r="AF7" s="25">
        <f t="shared" si="6"/>
        <v>1091567.5700000003</v>
      </c>
      <c r="AG7" s="47">
        <f t="shared" si="7"/>
        <v>0.92722882866666667</v>
      </c>
      <c r="AH7" s="88" t="s">
        <v>46</v>
      </c>
      <c r="AI7" s="88">
        <v>261236.73</v>
      </c>
      <c r="AJ7" s="88">
        <v>166066.17000000001</v>
      </c>
      <c r="AK7" s="88">
        <v>166066.17000000001</v>
      </c>
      <c r="AL7" s="88">
        <v>166066.17000000001</v>
      </c>
      <c r="AM7" s="88">
        <v>166066.17000000001</v>
      </c>
      <c r="AN7" s="88">
        <v>166066.16</v>
      </c>
      <c r="AO7" s="88" t="s">
        <v>174</v>
      </c>
      <c r="AP7" s="88" t="s">
        <v>174</v>
      </c>
      <c r="AQ7" s="88" t="s">
        <v>174</v>
      </c>
      <c r="AR7" s="88" t="s">
        <v>174</v>
      </c>
      <c r="AS7" s="88" t="s">
        <v>174</v>
      </c>
      <c r="AT7" s="88" t="s">
        <v>174</v>
      </c>
      <c r="AU7" s="88"/>
      <c r="AV7" s="87">
        <f t="shared" si="8"/>
        <v>1091567.57</v>
      </c>
      <c r="AW7" s="87">
        <f t="shared" si="9"/>
        <v>0</v>
      </c>
      <c r="AX7" s="82" t="s">
        <v>175</v>
      </c>
      <c r="AY7" s="102" t="s">
        <v>213</v>
      </c>
    </row>
    <row r="8" spans="1:51" ht="89.25" x14ac:dyDescent="0.25">
      <c r="A8" s="62" t="s">
        <v>77</v>
      </c>
      <c r="B8" s="62" t="s">
        <v>78</v>
      </c>
      <c r="C8" s="71" t="s">
        <v>89</v>
      </c>
      <c r="D8" s="63" t="s">
        <v>90</v>
      </c>
      <c r="E8" s="10" t="s">
        <v>46</v>
      </c>
      <c r="F8" s="66" t="s">
        <v>91</v>
      </c>
      <c r="G8" s="12">
        <v>44743</v>
      </c>
      <c r="H8" s="12">
        <v>46203</v>
      </c>
      <c r="I8" s="42">
        <v>3165</v>
      </c>
      <c r="J8" s="30">
        <v>64</v>
      </c>
      <c r="K8" s="13">
        <v>29</v>
      </c>
      <c r="L8" s="15">
        <v>10000000</v>
      </c>
      <c r="M8" s="14"/>
      <c r="N8" s="14"/>
      <c r="O8" s="14">
        <f t="shared" si="2"/>
        <v>10000000</v>
      </c>
      <c r="P8" s="14">
        <v>0</v>
      </c>
      <c r="Q8" s="14">
        <v>5000000</v>
      </c>
      <c r="R8" s="14">
        <v>1900000</v>
      </c>
      <c r="S8" s="14"/>
      <c r="T8" s="14"/>
      <c r="U8" s="14"/>
      <c r="V8" s="14">
        <f t="shared" si="3"/>
        <v>6900000</v>
      </c>
      <c r="W8" s="15">
        <f t="shared" si="4"/>
        <v>3100000</v>
      </c>
      <c r="X8" s="8"/>
      <c r="Y8" s="8"/>
      <c r="Z8" s="8">
        <v>57796.219999999994</v>
      </c>
      <c r="AA8" s="8">
        <v>2079879</v>
      </c>
      <c r="AB8" s="8">
        <v>698605.60000000009</v>
      </c>
      <c r="AC8" s="8">
        <v>85196.489999999991</v>
      </c>
      <c r="AD8" s="8"/>
      <c r="AE8" s="14">
        <f t="shared" si="5"/>
        <v>2921477.3100000005</v>
      </c>
      <c r="AF8" s="15">
        <f t="shared" si="6"/>
        <v>178522.68999999948</v>
      </c>
      <c r="AG8" s="46">
        <f t="shared" si="7"/>
        <v>0.94241203548387109</v>
      </c>
      <c r="AH8" s="88" t="s">
        <v>46</v>
      </c>
      <c r="AI8" s="88">
        <v>41804.85</v>
      </c>
      <c r="AJ8" s="88">
        <v>27343.57</v>
      </c>
      <c r="AK8" s="88">
        <v>27343.57</v>
      </c>
      <c r="AL8" s="88">
        <v>27343.57</v>
      </c>
      <c r="AM8" s="88">
        <v>27343.57</v>
      </c>
      <c r="AN8" s="88">
        <v>27343.56</v>
      </c>
      <c r="AO8" s="88" t="s">
        <v>174</v>
      </c>
      <c r="AP8" s="88" t="s">
        <v>174</v>
      </c>
      <c r="AQ8" s="88" t="s">
        <v>174</v>
      </c>
      <c r="AR8" s="88" t="s">
        <v>174</v>
      </c>
      <c r="AS8" s="88" t="s">
        <v>174</v>
      </c>
      <c r="AT8" s="88" t="s">
        <v>174</v>
      </c>
      <c r="AU8" s="88"/>
      <c r="AV8" s="87">
        <f t="shared" si="8"/>
        <v>178522.69</v>
      </c>
      <c r="AW8" s="87">
        <f t="shared" si="9"/>
        <v>5.2386894822120667E-10</v>
      </c>
      <c r="AX8" s="82" t="s">
        <v>175</v>
      </c>
      <c r="AY8" s="102" t="s">
        <v>218</v>
      </c>
    </row>
    <row r="9" spans="1:51" ht="38.25" x14ac:dyDescent="0.25">
      <c r="A9" s="62" t="s">
        <v>77</v>
      </c>
      <c r="B9" s="62" t="s">
        <v>78</v>
      </c>
      <c r="C9" s="72" t="s">
        <v>92</v>
      </c>
      <c r="D9" s="63" t="s">
        <v>80</v>
      </c>
      <c r="E9" s="10" t="s">
        <v>46</v>
      </c>
      <c r="F9" s="66" t="s">
        <v>93</v>
      </c>
      <c r="G9" s="12">
        <v>44854</v>
      </c>
      <c r="H9" s="12">
        <v>46203</v>
      </c>
      <c r="I9" s="42">
        <v>3219</v>
      </c>
      <c r="J9" s="30">
        <v>35</v>
      </c>
      <c r="K9" s="13">
        <v>33</v>
      </c>
      <c r="L9" s="15">
        <v>1500000</v>
      </c>
      <c r="M9" s="14"/>
      <c r="N9" s="14"/>
      <c r="O9" s="14">
        <f t="shared" si="2"/>
        <v>1500000</v>
      </c>
      <c r="P9" s="14"/>
      <c r="Q9" s="14"/>
      <c r="R9" s="14"/>
      <c r="S9" s="14"/>
      <c r="T9" s="14"/>
      <c r="U9" s="14"/>
      <c r="V9" s="14">
        <f t="shared" si="3"/>
        <v>0</v>
      </c>
      <c r="W9" s="15">
        <f t="shared" si="4"/>
        <v>1500000</v>
      </c>
      <c r="X9" s="8"/>
      <c r="Y9" s="8"/>
      <c r="Z9" s="8"/>
      <c r="AA9" s="8">
        <v>131435.79</v>
      </c>
      <c r="AB9" s="8">
        <v>837289.48</v>
      </c>
      <c r="AC9" s="8">
        <v>336314.44</v>
      </c>
      <c r="AD9" s="8"/>
      <c r="AE9" s="14">
        <f t="shared" si="5"/>
        <v>1305039.71</v>
      </c>
      <c r="AF9" s="15">
        <f t="shared" si="6"/>
        <v>194960.29000000004</v>
      </c>
      <c r="AG9" s="46">
        <f t="shared" si="7"/>
        <v>0.87002647333333327</v>
      </c>
      <c r="AH9" s="88" t="s">
        <v>46</v>
      </c>
      <c r="AI9" s="88">
        <v>32493.38</v>
      </c>
      <c r="AJ9" s="88">
        <v>32493.38</v>
      </c>
      <c r="AK9" s="88">
        <v>32493.38</v>
      </c>
      <c r="AL9" s="88">
        <v>32493.38</v>
      </c>
      <c r="AM9" s="88">
        <v>32493.38</v>
      </c>
      <c r="AN9" s="88">
        <v>32493.39</v>
      </c>
      <c r="AO9" s="88" t="s">
        <v>174</v>
      </c>
      <c r="AP9" s="88" t="s">
        <v>174</v>
      </c>
      <c r="AQ9" s="88" t="s">
        <v>174</v>
      </c>
      <c r="AR9" s="88" t="s">
        <v>174</v>
      </c>
      <c r="AS9" s="88" t="s">
        <v>174</v>
      </c>
      <c r="AT9" s="88" t="s">
        <v>174</v>
      </c>
      <c r="AU9" s="88"/>
      <c r="AV9" s="87">
        <f t="shared" si="8"/>
        <v>194960.28999999998</v>
      </c>
      <c r="AW9" s="87">
        <f t="shared" si="9"/>
        <v>0</v>
      </c>
      <c r="AX9" s="82" t="s">
        <v>175</v>
      </c>
      <c r="AY9" s="102" t="s">
        <v>178</v>
      </c>
    </row>
    <row r="10" spans="1:51" ht="229.5" x14ac:dyDescent="0.25">
      <c r="A10" s="62" t="s">
        <v>77</v>
      </c>
      <c r="B10" s="62" t="s">
        <v>94</v>
      </c>
      <c r="C10" s="72" t="s">
        <v>95</v>
      </c>
      <c r="D10" s="63" t="s">
        <v>80</v>
      </c>
      <c r="E10" s="10" t="s">
        <v>46</v>
      </c>
      <c r="F10" s="66" t="s">
        <v>96</v>
      </c>
      <c r="G10" s="12">
        <v>45091</v>
      </c>
      <c r="H10" s="12">
        <v>46387</v>
      </c>
      <c r="I10" s="30">
        <v>3234</v>
      </c>
      <c r="J10" s="30">
        <v>22</v>
      </c>
      <c r="K10" s="13">
        <v>33</v>
      </c>
      <c r="L10" s="15">
        <v>5494300</v>
      </c>
      <c r="M10" s="19"/>
      <c r="N10" s="14"/>
      <c r="O10" s="14">
        <f t="shared" si="2"/>
        <v>5494300</v>
      </c>
      <c r="P10" s="14"/>
      <c r="Q10" s="9"/>
      <c r="R10" s="14"/>
      <c r="S10" s="14"/>
      <c r="T10" s="14"/>
      <c r="U10" s="14"/>
      <c r="V10" s="19">
        <f t="shared" si="3"/>
        <v>0</v>
      </c>
      <c r="W10" s="15">
        <f t="shared" si="4"/>
        <v>5494300</v>
      </c>
      <c r="X10" s="8"/>
      <c r="Y10" s="8"/>
      <c r="Z10" s="8"/>
      <c r="AA10" s="8">
        <v>201861.5</v>
      </c>
      <c r="AB10" s="8">
        <v>1819585.17</v>
      </c>
      <c r="AC10" s="8">
        <v>1263736.0999999999</v>
      </c>
      <c r="AD10" s="8"/>
      <c r="AE10" s="14">
        <f t="shared" si="5"/>
        <v>3285182.7699999996</v>
      </c>
      <c r="AF10" s="15">
        <f t="shared" si="6"/>
        <v>2209117.2300000004</v>
      </c>
      <c r="AG10" s="46">
        <f t="shared" si="7"/>
        <v>0.59792562655843318</v>
      </c>
      <c r="AH10" s="88" t="s">
        <v>46</v>
      </c>
      <c r="AI10" s="88">
        <v>192705.42</v>
      </c>
      <c r="AJ10" s="88">
        <v>165593</v>
      </c>
      <c r="AK10" s="88">
        <v>190500.85</v>
      </c>
      <c r="AL10" s="88">
        <v>174715.51999999999</v>
      </c>
      <c r="AM10" s="88">
        <v>230426.88</v>
      </c>
      <c r="AN10" s="88">
        <v>250429.84</v>
      </c>
      <c r="AO10" s="88">
        <v>135519.78</v>
      </c>
      <c r="AP10" s="88">
        <v>141958.73000000001</v>
      </c>
      <c r="AQ10" s="88">
        <v>223703.08</v>
      </c>
      <c r="AR10" s="88">
        <v>371762.27</v>
      </c>
      <c r="AS10" s="88">
        <v>131801.85999999999</v>
      </c>
      <c r="AT10" s="88" t="s">
        <v>174</v>
      </c>
      <c r="AU10" s="88"/>
      <c r="AV10" s="87">
        <f t="shared" si="8"/>
        <v>2209117.23</v>
      </c>
      <c r="AW10" s="87">
        <f t="shared" si="9"/>
        <v>0</v>
      </c>
      <c r="AX10" s="82" t="s">
        <v>175</v>
      </c>
      <c r="AY10" s="102" t="s">
        <v>179</v>
      </c>
    </row>
    <row r="11" spans="1:51" ht="89.25" x14ac:dyDescent="0.25">
      <c r="A11" s="62" t="s">
        <v>77</v>
      </c>
      <c r="B11" s="62" t="s">
        <v>78</v>
      </c>
      <c r="C11" s="71" t="s">
        <v>97</v>
      </c>
      <c r="D11" s="63" t="s">
        <v>80</v>
      </c>
      <c r="E11" s="10" t="s">
        <v>46</v>
      </c>
      <c r="F11" s="66" t="s">
        <v>98</v>
      </c>
      <c r="G11" s="12">
        <v>45092</v>
      </c>
      <c r="H11" s="12">
        <v>46387</v>
      </c>
      <c r="I11" s="30">
        <v>3234</v>
      </c>
      <c r="J11" s="30">
        <v>21</v>
      </c>
      <c r="K11" s="13">
        <v>23</v>
      </c>
      <c r="L11" s="15">
        <v>666000</v>
      </c>
      <c r="M11" s="14"/>
      <c r="N11" s="14">
        <v>0</v>
      </c>
      <c r="O11" s="14">
        <f t="shared" si="2"/>
        <v>666000</v>
      </c>
      <c r="P11" s="14"/>
      <c r="Q11" s="14"/>
      <c r="R11" s="14"/>
      <c r="S11" s="14"/>
      <c r="T11" s="14"/>
      <c r="U11" s="14"/>
      <c r="V11" s="14">
        <f t="shared" si="3"/>
        <v>0</v>
      </c>
      <c r="W11" s="15">
        <f t="shared" si="4"/>
        <v>666000</v>
      </c>
      <c r="X11" s="8"/>
      <c r="Y11" s="8"/>
      <c r="Z11" s="8"/>
      <c r="AA11" s="6">
        <v>4997.96</v>
      </c>
      <c r="AB11" s="6">
        <v>157287.89000000001</v>
      </c>
      <c r="AC11" s="6">
        <v>89372.94</v>
      </c>
      <c r="AD11" s="8"/>
      <c r="AE11" s="14">
        <f t="shared" si="5"/>
        <v>251658.79</v>
      </c>
      <c r="AF11" s="15">
        <f t="shared" si="6"/>
        <v>414341.20999999996</v>
      </c>
      <c r="AG11" s="46">
        <f t="shared" si="7"/>
        <v>0.37786605105105109</v>
      </c>
      <c r="AH11" s="88" t="s">
        <v>46</v>
      </c>
      <c r="AI11" s="88">
        <v>116387.14</v>
      </c>
      <c r="AJ11" s="88">
        <v>34579.79</v>
      </c>
      <c r="AK11" s="88">
        <v>29780.44</v>
      </c>
      <c r="AL11" s="88">
        <v>29780.44</v>
      </c>
      <c r="AM11" s="88">
        <v>29780.44</v>
      </c>
      <c r="AN11" s="88">
        <v>29780.44</v>
      </c>
      <c r="AO11" s="88">
        <v>29780.44</v>
      </c>
      <c r="AP11" s="88">
        <v>29780.44</v>
      </c>
      <c r="AQ11" s="88">
        <v>29780.44</v>
      </c>
      <c r="AR11" s="88">
        <v>29780.44</v>
      </c>
      <c r="AS11" s="88">
        <v>25130.76</v>
      </c>
      <c r="AT11" s="88" t="s">
        <v>174</v>
      </c>
      <c r="AU11" s="88"/>
      <c r="AV11" s="87">
        <f t="shared" si="8"/>
        <v>414341.21</v>
      </c>
      <c r="AW11" s="87">
        <f t="shared" si="9"/>
        <v>0</v>
      </c>
      <c r="AX11" s="82" t="s">
        <v>175</v>
      </c>
      <c r="AY11" s="102" t="s">
        <v>180</v>
      </c>
    </row>
    <row r="12" spans="1:51" ht="102" x14ac:dyDescent="0.25">
      <c r="A12" s="62" t="s">
        <v>77</v>
      </c>
      <c r="B12" s="62" t="s">
        <v>78</v>
      </c>
      <c r="C12" s="72" t="s">
        <v>99</v>
      </c>
      <c r="D12" s="63" t="s">
        <v>80</v>
      </c>
      <c r="E12" s="10" t="s">
        <v>46</v>
      </c>
      <c r="F12" s="66" t="s">
        <v>100</v>
      </c>
      <c r="G12" s="12">
        <v>44791</v>
      </c>
      <c r="H12" s="12">
        <v>46142</v>
      </c>
      <c r="I12" s="30">
        <v>3645</v>
      </c>
      <c r="J12" s="30">
        <v>61</v>
      </c>
      <c r="K12" s="13">
        <v>24</v>
      </c>
      <c r="L12" s="15">
        <v>1462644</v>
      </c>
      <c r="M12" s="19"/>
      <c r="N12" s="14"/>
      <c r="O12" s="14">
        <f t="shared" si="2"/>
        <v>1462644</v>
      </c>
      <c r="P12" s="14"/>
      <c r="Q12" s="14"/>
      <c r="R12" s="14"/>
      <c r="S12" s="14"/>
      <c r="T12" s="16"/>
      <c r="U12" s="14"/>
      <c r="V12" s="19">
        <f t="shared" si="3"/>
        <v>0</v>
      </c>
      <c r="W12" s="15">
        <f t="shared" si="4"/>
        <v>1462644</v>
      </c>
      <c r="X12" s="8"/>
      <c r="Y12" s="8"/>
      <c r="Z12" s="8">
        <v>24377.24</v>
      </c>
      <c r="AA12" s="8">
        <v>103040.12999999999</v>
      </c>
      <c r="AB12" s="8">
        <v>888600.13</v>
      </c>
      <c r="AC12" s="8">
        <v>0</v>
      </c>
      <c r="AD12" s="8"/>
      <c r="AE12" s="14">
        <f t="shared" si="5"/>
        <v>1016017.5</v>
      </c>
      <c r="AF12" s="81">
        <f t="shared" si="6"/>
        <v>446626.5</v>
      </c>
      <c r="AG12" s="46">
        <f t="shared" si="7"/>
        <v>0.69464442475407551</v>
      </c>
      <c r="AH12" s="88" t="s">
        <v>46</v>
      </c>
      <c r="AI12" s="88">
        <v>39572.25</v>
      </c>
      <c r="AJ12" s="88">
        <v>39572.25</v>
      </c>
      <c r="AK12" s="88">
        <v>39572.25</v>
      </c>
      <c r="AL12" s="88">
        <v>39572.25</v>
      </c>
      <c r="AM12" s="88" t="s">
        <v>174</v>
      </c>
      <c r="AN12" s="88" t="s">
        <v>174</v>
      </c>
      <c r="AO12" s="88" t="s">
        <v>174</v>
      </c>
      <c r="AP12" s="88" t="s">
        <v>174</v>
      </c>
      <c r="AQ12" s="88" t="s">
        <v>174</v>
      </c>
      <c r="AR12" s="88" t="s">
        <v>174</v>
      </c>
      <c r="AS12" s="88" t="s">
        <v>174</v>
      </c>
      <c r="AT12" s="88" t="s">
        <v>174</v>
      </c>
      <c r="AU12" s="88"/>
      <c r="AV12" s="87">
        <f t="shared" si="8"/>
        <v>158289</v>
      </c>
      <c r="AW12" s="87">
        <f t="shared" si="9"/>
        <v>-288337.5</v>
      </c>
      <c r="AX12" s="82" t="s">
        <v>175</v>
      </c>
      <c r="AY12" s="102" t="s">
        <v>219</v>
      </c>
    </row>
    <row r="13" spans="1:51" ht="153" x14ac:dyDescent="0.25">
      <c r="A13" s="62" t="s">
        <v>77</v>
      </c>
      <c r="B13" s="62" t="s">
        <v>78</v>
      </c>
      <c r="C13" s="71" t="s">
        <v>101</v>
      </c>
      <c r="D13" s="63" t="s">
        <v>80</v>
      </c>
      <c r="E13" s="10" t="s">
        <v>46</v>
      </c>
      <c r="F13" s="66" t="s">
        <v>102</v>
      </c>
      <c r="G13" s="12">
        <v>44790</v>
      </c>
      <c r="H13" s="12">
        <v>46387</v>
      </c>
      <c r="I13" s="42">
        <v>3234</v>
      </c>
      <c r="J13" s="30">
        <v>23</v>
      </c>
      <c r="K13" s="13">
        <v>33</v>
      </c>
      <c r="L13" s="15">
        <f>10000000+3700000+1600000+5500000</f>
        <v>20800000</v>
      </c>
      <c r="M13" s="14"/>
      <c r="N13" s="14"/>
      <c r="O13" s="14">
        <f t="shared" si="2"/>
        <v>20800000</v>
      </c>
      <c r="P13" s="14"/>
      <c r="Q13" s="14"/>
      <c r="R13" s="14"/>
      <c r="S13" s="14"/>
      <c r="T13" s="14"/>
      <c r="U13" s="14"/>
      <c r="V13" s="14">
        <f t="shared" si="3"/>
        <v>0</v>
      </c>
      <c r="W13" s="15">
        <f t="shared" si="4"/>
        <v>20800000</v>
      </c>
      <c r="X13" s="8"/>
      <c r="Y13" s="8"/>
      <c r="Z13" s="8">
        <v>4661930.9400000004</v>
      </c>
      <c r="AA13" s="8">
        <v>2517080.94</v>
      </c>
      <c r="AB13" s="8">
        <v>3263651.78</v>
      </c>
      <c r="AC13" s="8">
        <v>672769.96</v>
      </c>
      <c r="AD13" s="8">
        <v>0</v>
      </c>
      <c r="AE13" s="14">
        <f t="shared" si="5"/>
        <v>11115433.620000001</v>
      </c>
      <c r="AF13" s="15">
        <f t="shared" si="6"/>
        <v>9684566.379999999</v>
      </c>
      <c r="AG13" s="48">
        <f t="shared" si="7"/>
        <v>0.53439584711538468</v>
      </c>
      <c r="AH13" s="88" t="s">
        <v>46</v>
      </c>
      <c r="AI13" s="88">
        <v>700543.2</v>
      </c>
      <c r="AJ13" s="88">
        <v>997517.03</v>
      </c>
      <c r="AK13" s="88">
        <v>905417.48</v>
      </c>
      <c r="AL13" s="88">
        <v>916697.79</v>
      </c>
      <c r="AM13" s="88">
        <v>744609.59</v>
      </c>
      <c r="AN13" s="88">
        <v>659995.51</v>
      </c>
      <c r="AO13" s="88">
        <v>709762.79</v>
      </c>
      <c r="AP13" s="88">
        <v>2003000</v>
      </c>
      <c r="AQ13" s="88">
        <v>674509.07</v>
      </c>
      <c r="AR13" s="88">
        <v>677842.58</v>
      </c>
      <c r="AS13" s="88">
        <v>694671.34</v>
      </c>
      <c r="AT13" s="88" t="s">
        <v>174</v>
      </c>
      <c r="AU13" s="88"/>
      <c r="AV13" s="87">
        <f t="shared" si="8"/>
        <v>9684566.379999999</v>
      </c>
      <c r="AW13" s="87">
        <f t="shared" si="9"/>
        <v>0</v>
      </c>
      <c r="AX13" s="82" t="s">
        <v>175</v>
      </c>
      <c r="AY13" s="102" t="s">
        <v>214</v>
      </c>
    </row>
    <row r="14" spans="1:51" ht="89.25" x14ac:dyDescent="0.25">
      <c r="A14" s="62" t="s">
        <v>77</v>
      </c>
      <c r="B14" s="62" t="s">
        <v>78</v>
      </c>
      <c r="C14" s="72" t="s">
        <v>103</v>
      </c>
      <c r="D14" s="63" t="s">
        <v>80</v>
      </c>
      <c r="E14" s="10" t="s">
        <v>46</v>
      </c>
      <c r="F14" s="66" t="s">
        <v>104</v>
      </c>
      <c r="G14" s="12">
        <v>44854</v>
      </c>
      <c r="H14" s="12">
        <v>46326</v>
      </c>
      <c r="I14" s="30">
        <v>3222</v>
      </c>
      <c r="J14" s="30">
        <v>33</v>
      </c>
      <c r="K14" s="13">
        <v>33</v>
      </c>
      <c r="L14" s="15">
        <v>3953689</v>
      </c>
      <c r="M14" s="19"/>
      <c r="N14" s="14"/>
      <c r="O14" s="14">
        <f t="shared" si="2"/>
        <v>3953689</v>
      </c>
      <c r="P14" s="14"/>
      <c r="Q14" s="14"/>
      <c r="R14" s="14"/>
      <c r="S14" s="14"/>
      <c r="T14" s="14"/>
      <c r="U14" s="14"/>
      <c r="V14" s="19">
        <f t="shared" si="3"/>
        <v>0</v>
      </c>
      <c r="W14" s="15">
        <f t="shared" si="4"/>
        <v>3953689</v>
      </c>
      <c r="X14" s="8"/>
      <c r="Y14" s="8"/>
      <c r="Z14" s="8"/>
      <c r="AA14" s="8">
        <v>820927.41</v>
      </c>
      <c r="AB14" s="8">
        <v>1889733.67</v>
      </c>
      <c r="AC14" s="8">
        <v>568833.40999999992</v>
      </c>
      <c r="AD14" s="8"/>
      <c r="AE14" s="14">
        <f t="shared" si="5"/>
        <v>3279494.49</v>
      </c>
      <c r="AF14" s="15">
        <f t="shared" si="6"/>
        <v>674194.50999999978</v>
      </c>
      <c r="AG14" s="46">
        <f t="shared" si="7"/>
        <v>0.82947710100617433</v>
      </c>
      <c r="AH14" s="88" t="s">
        <v>46</v>
      </c>
      <c r="AI14" s="88">
        <v>67419.45</v>
      </c>
      <c r="AJ14" s="88">
        <v>67419.45</v>
      </c>
      <c r="AK14" s="88">
        <v>67419.45</v>
      </c>
      <c r="AL14" s="88">
        <v>67419.45</v>
      </c>
      <c r="AM14" s="88">
        <v>67419.45</v>
      </c>
      <c r="AN14" s="88">
        <v>67419.45</v>
      </c>
      <c r="AO14" s="88">
        <v>67419.45</v>
      </c>
      <c r="AP14" s="88">
        <v>67419.45</v>
      </c>
      <c r="AQ14" s="88">
        <v>67419.45</v>
      </c>
      <c r="AR14" s="88">
        <v>67419.460000000006</v>
      </c>
      <c r="AS14" s="88" t="s">
        <v>174</v>
      </c>
      <c r="AT14" s="88" t="s">
        <v>174</v>
      </c>
      <c r="AU14" s="88"/>
      <c r="AV14" s="87">
        <f t="shared" si="8"/>
        <v>674194.50999999989</v>
      </c>
      <c r="AW14" s="87">
        <f t="shared" si="9"/>
        <v>0</v>
      </c>
      <c r="AX14" s="82" t="s">
        <v>175</v>
      </c>
      <c r="AY14" s="102" t="s">
        <v>181</v>
      </c>
    </row>
    <row r="15" spans="1:51" ht="39" x14ac:dyDescent="0.25">
      <c r="A15" s="62" t="s">
        <v>77</v>
      </c>
      <c r="B15" s="62" t="s">
        <v>78</v>
      </c>
      <c r="C15" s="72" t="s">
        <v>105</v>
      </c>
      <c r="D15" s="63" t="s">
        <v>80</v>
      </c>
      <c r="E15" s="10" t="s">
        <v>46</v>
      </c>
      <c r="F15" s="67" t="s">
        <v>106</v>
      </c>
      <c r="G15" s="12">
        <v>44854</v>
      </c>
      <c r="H15" s="12">
        <v>46295</v>
      </c>
      <c r="I15" s="42">
        <v>3161</v>
      </c>
      <c r="J15" s="30">
        <v>63</v>
      </c>
      <c r="K15" s="13">
        <v>34</v>
      </c>
      <c r="L15" s="15">
        <v>10000000</v>
      </c>
      <c r="M15" s="14"/>
      <c r="N15" s="14"/>
      <c r="O15" s="14">
        <f t="shared" si="2"/>
        <v>10000000</v>
      </c>
      <c r="P15" s="14"/>
      <c r="Q15" s="14"/>
      <c r="R15" s="14"/>
      <c r="S15" s="14"/>
      <c r="T15" s="14"/>
      <c r="U15" s="14"/>
      <c r="V15" s="14">
        <f t="shared" si="3"/>
        <v>0</v>
      </c>
      <c r="W15" s="15">
        <f t="shared" si="4"/>
        <v>10000000</v>
      </c>
      <c r="X15" s="8"/>
      <c r="Y15" s="8"/>
      <c r="Z15" s="8"/>
      <c r="AA15" s="8">
        <v>0</v>
      </c>
      <c r="AB15" s="8">
        <v>1648607.93</v>
      </c>
      <c r="AC15" s="8">
        <v>3659347.56</v>
      </c>
      <c r="AD15" s="8"/>
      <c r="AE15" s="14">
        <f t="shared" si="5"/>
        <v>5307955.49</v>
      </c>
      <c r="AF15" s="15">
        <f t="shared" si="6"/>
        <v>4692044.51</v>
      </c>
      <c r="AG15" s="46">
        <f t="shared" si="7"/>
        <v>0.53079554900000003</v>
      </c>
      <c r="AH15" s="88" t="s">
        <v>46</v>
      </c>
      <c r="AI15" s="88">
        <v>521338.28</v>
      </c>
      <c r="AJ15" s="88">
        <v>521338.28</v>
      </c>
      <c r="AK15" s="88">
        <v>521338.28</v>
      </c>
      <c r="AL15" s="88">
        <v>521338.28</v>
      </c>
      <c r="AM15" s="88">
        <v>521338.28</v>
      </c>
      <c r="AN15" s="88">
        <v>521338.28</v>
      </c>
      <c r="AO15" s="88">
        <v>521338.28</v>
      </c>
      <c r="AP15" s="88">
        <v>521338.28</v>
      </c>
      <c r="AQ15" s="88">
        <v>521338.27</v>
      </c>
      <c r="AR15" s="88" t="s">
        <v>174</v>
      </c>
      <c r="AS15" s="88" t="s">
        <v>174</v>
      </c>
      <c r="AT15" s="88" t="s">
        <v>174</v>
      </c>
      <c r="AU15" s="88"/>
      <c r="AV15" s="87">
        <f t="shared" si="8"/>
        <v>4692044.5100000016</v>
      </c>
      <c r="AW15" s="87">
        <f t="shared" si="9"/>
        <v>0</v>
      </c>
      <c r="AX15" s="82" t="s">
        <v>175</v>
      </c>
      <c r="AY15" s="95" t="s">
        <v>215</v>
      </c>
    </row>
    <row r="16" spans="1:51" ht="216.75" x14ac:dyDescent="0.25">
      <c r="A16" s="62" t="s">
        <v>77</v>
      </c>
      <c r="B16" s="62" t="s">
        <v>78</v>
      </c>
      <c r="C16" s="72" t="s">
        <v>107</v>
      </c>
      <c r="D16" s="63" t="s">
        <v>80</v>
      </c>
      <c r="E16" s="10" t="s">
        <v>46</v>
      </c>
      <c r="F16" s="66" t="s">
        <v>108</v>
      </c>
      <c r="G16" s="12">
        <v>44927</v>
      </c>
      <c r="H16" s="12">
        <v>46387</v>
      </c>
      <c r="I16" s="42">
        <v>3224</v>
      </c>
      <c r="J16" s="30" t="s">
        <v>109</v>
      </c>
      <c r="K16" s="13">
        <v>33</v>
      </c>
      <c r="L16" s="15">
        <v>6446148</v>
      </c>
      <c r="M16" s="19"/>
      <c r="N16" s="14"/>
      <c r="O16" s="14">
        <f t="shared" si="2"/>
        <v>6446148</v>
      </c>
      <c r="P16" s="14"/>
      <c r="Q16" s="14"/>
      <c r="R16" s="14"/>
      <c r="S16" s="14"/>
      <c r="T16" s="14"/>
      <c r="U16" s="14"/>
      <c r="V16" s="19">
        <f t="shared" si="3"/>
        <v>0</v>
      </c>
      <c r="W16" s="15">
        <f t="shared" si="4"/>
        <v>6446148</v>
      </c>
      <c r="X16" s="8"/>
      <c r="Y16" s="8"/>
      <c r="Z16" s="8">
        <v>105015.49</v>
      </c>
      <c r="AA16" s="8">
        <v>1191335.8299999998</v>
      </c>
      <c r="AB16" s="8">
        <v>1489526.7499999998</v>
      </c>
      <c r="AC16" s="8">
        <v>488050.08</v>
      </c>
      <c r="AD16" s="8"/>
      <c r="AE16" s="14">
        <f t="shared" si="5"/>
        <v>3273928.1499999994</v>
      </c>
      <c r="AF16" s="15">
        <f t="shared" si="6"/>
        <v>3172219.8500000006</v>
      </c>
      <c r="AG16" s="46">
        <f t="shared" si="7"/>
        <v>0.50788907577052211</v>
      </c>
      <c r="AH16" s="88" t="s">
        <v>46</v>
      </c>
      <c r="AI16" s="88">
        <v>212659.31</v>
      </c>
      <c r="AJ16" s="88">
        <v>269050.95</v>
      </c>
      <c r="AK16" s="88">
        <v>269050.95</v>
      </c>
      <c r="AL16" s="88">
        <v>269050.95</v>
      </c>
      <c r="AM16" s="88">
        <v>269050.95</v>
      </c>
      <c r="AN16" s="88">
        <v>269050.95</v>
      </c>
      <c r="AO16" s="88">
        <v>269050.95</v>
      </c>
      <c r="AP16" s="88">
        <v>269050.96999999997</v>
      </c>
      <c r="AQ16" s="88">
        <v>269050.96999999997</v>
      </c>
      <c r="AR16" s="88">
        <v>269050.96999999997</v>
      </c>
      <c r="AS16" s="88">
        <v>269050.96999999997</v>
      </c>
      <c r="AT16" s="88">
        <v>269050.96000000002</v>
      </c>
      <c r="AU16" s="88"/>
      <c r="AV16" s="87">
        <f t="shared" si="8"/>
        <v>3172219.8499999996</v>
      </c>
      <c r="AW16" s="87">
        <f t="shared" si="9"/>
        <v>0</v>
      </c>
      <c r="AX16" s="82" t="s">
        <v>175</v>
      </c>
      <c r="AY16" s="102" t="s">
        <v>182</v>
      </c>
    </row>
    <row r="17" spans="1:51" ht="89.25" x14ac:dyDescent="0.25">
      <c r="A17" s="62" t="s">
        <v>77</v>
      </c>
      <c r="B17" s="62" t="s">
        <v>78</v>
      </c>
      <c r="C17" s="72" t="s">
        <v>110</v>
      </c>
      <c r="D17" s="63" t="s">
        <v>80</v>
      </c>
      <c r="E17" s="10" t="s">
        <v>46</v>
      </c>
      <c r="F17" s="66" t="s">
        <v>111</v>
      </c>
      <c r="G17" s="12">
        <v>45273</v>
      </c>
      <c r="H17" s="12">
        <v>46387</v>
      </c>
      <c r="I17" s="30">
        <v>3645</v>
      </c>
      <c r="J17" s="30">
        <v>62</v>
      </c>
      <c r="K17" s="13">
        <v>33</v>
      </c>
      <c r="L17" s="15">
        <v>4920000</v>
      </c>
      <c r="M17" s="14"/>
      <c r="N17" s="14"/>
      <c r="O17" s="14">
        <f t="shared" si="2"/>
        <v>4920000</v>
      </c>
      <c r="P17" s="14">
        <v>660000</v>
      </c>
      <c r="Q17" s="14"/>
      <c r="R17" s="14">
        <f>744094</f>
        <v>744094</v>
      </c>
      <c r="S17" s="14"/>
      <c r="T17" s="14"/>
      <c r="U17" s="14"/>
      <c r="V17" s="14">
        <f t="shared" si="3"/>
        <v>1404094</v>
      </c>
      <c r="W17" s="15">
        <f t="shared" si="4"/>
        <v>3515906</v>
      </c>
      <c r="X17" s="8"/>
      <c r="Y17" s="8"/>
      <c r="Z17" s="8"/>
      <c r="AA17" s="8">
        <v>127478.69</v>
      </c>
      <c r="AB17" s="8">
        <v>1251293.04</v>
      </c>
      <c r="AC17" s="8">
        <v>599258.71</v>
      </c>
      <c r="AD17" s="8"/>
      <c r="AE17" s="14">
        <f t="shared" si="5"/>
        <v>1978030.44</v>
      </c>
      <c r="AF17" s="15">
        <f t="shared" si="6"/>
        <v>1537875.56</v>
      </c>
      <c r="AG17" s="46">
        <f t="shared" si="7"/>
        <v>0.56259480202257961</v>
      </c>
      <c r="AH17" s="88" t="s">
        <v>46</v>
      </c>
      <c r="AI17" s="88">
        <v>128858.9</v>
      </c>
      <c r="AJ17" s="88">
        <v>128092.42</v>
      </c>
      <c r="AK17" s="88">
        <v>128092.42</v>
      </c>
      <c r="AL17" s="88">
        <v>128092.42</v>
      </c>
      <c r="AM17" s="88">
        <v>128092.42</v>
      </c>
      <c r="AN17" s="88">
        <v>128092.42</v>
      </c>
      <c r="AO17" s="88">
        <v>128092.42</v>
      </c>
      <c r="AP17" s="88">
        <v>128092.42</v>
      </c>
      <c r="AQ17" s="88">
        <v>128092.42</v>
      </c>
      <c r="AR17" s="88">
        <v>128092.42</v>
      </c>
      <c r="AS17" s="88">
        <v>128092.42</v>
      </c>
      <c r="AT17" s="88">
        <v>128092.46</v>
      </c>
      <c r="AU17" s="88"/>
      <c r="AV17" s="87">
        <f t="shared" si="8"/>
        <v>1537875.5599999998</v>
      </c>
      <c r="AW17" s="87">
        <f t="shared" si="9"/>
        <v>0</v>
      </c>
      <c r="AX17" s="82" t="s">
        <v>175</v>
      </c>
      <c r="AY17" s="102" t="s">
        <v>183</v>
      </c>
    </row>
    <row r="18" spans="1:51" ht="102" x14ac:dyDescent="0.25">
      <c r="A18" s="62" t="s">
        <v>77</v>
      </c>
      <c r="B18" s="62" t="s">
        <v>78</v>
      </c>
      <c r="C18" s="73" t="s">
        <v>112</v>
      </c>
      <c r="D18" s="63" t="s">
        <v>80</v>
      </c>
      <c r="E18" s="10" t="s">
        <v>46</v>
      </c>
      <c r="F18" s="66" t="s">
        <v>113</v>
      </c>
      <c r="G18" s="12">
        <v>45273</v>
      </c>
      <c r="H18" s="12">
        <v>46387</v>
      </c>
      <c r="I18" s="30">
        <v>3161</v>
      </c>
      <c r="J18" s="30">
        <v>64</v>
      </c>
      <c r="K18" s="24">
        <v>33</v>
      </c>
      <c r="L18" s="15">
        <v>14905281</v>
      </c>
      <c r="M18" s="16">
        <f>2939148</f>
        <v>2939148</v>
      </c>
      <c r="N18" s="14"/>
      <c r="O18" s="14">
        <f t="shared" si="2"/>
        <v>17844429</v>
      </c>
      <c r="P18" s="14"/>
      <c r="Q18" s="14"/>
      <c r="R18" s="14"/>
      <c r="S18" s="14"/>
      <c r="T18" s="14"/>
      <c r="U18" s="14"/>
      <c r="V18" s="14">
        <f t="shared" si="3"/>
        <v>0</v>
      </c>
      <c r="W18" s="15">
        <f t="shared" si="4"/>
        <v>17844429</v>
      </c>
      <c r="X18" s="8"/>
      <c r="Y18" s="8"/>
      <c r="Z18" s="8"/>
      <c r="AA18" s="8">
        <v>375456.73</v>
      </c>
      <c r="AB18" s="8">
        <v>9082223.2999999989</v>
      </c>
      <c r="AC18" s="8">
        <v>3175915.55</v>
      </c>
      <c r="AD18" s="8"/>
      <c r="AE18" s="14">
        <f t="shared" si="5"/>
        <v>12633595.579999998</v>
      </c>
      <c r="AF18" s="15">
        <f t="shared" si="6"/>
        <v>5210833.4200000018</v>
      </c>
      <c r="AG18" s="46">
        <f t="shared" si="7"/>
        <v>0.70798542110817886</v>
      </c>
      <c r="AH18" s="88" t="s">
        <v>46</v>
      </c>
      <c r="AI18" s="88">
        <v>452701.87</v>
      </c>
      <c r="AJ18" s="88">
        <v>452701.87</v>
      </c>
      <c r="AK18" s="88">
        <v>452701.87</v>
      </c>
      <c r="AL18" s="88">
        <v>452701.87</v>
      </c>
      <c r="AM18" s="88">
        <v>452701.87</v>
      </c>
      <c r="AN18" s="88">
        <v>452701.87</v>
      </c>
      <c r="AO18" s="88">
        <v>452701.87</v>
      </c>
      <c r="AP18" s="88">
        <v>452701.87</v>
      </c>
      <c r="AQ18" s="88">
        <v>452701.87</v>
      </c>
      <c r="AR18" s="88">
        <v>452701.87</v>
      </c>
      <c r="AS18" s="88">
        <v>452701.87</v>
      </c>
      <c r="AT18" s="88">
        <v>452701.81</v>
      </c>
      <c r="AU18" s="88"/>
      <c r="AV18" s="87">
        <f t="shared" si="8"/>
        <v>5432422.3799999999</v>
      </c>
      <c r="AW18" s="87">
        <f>AV18-AF18</f>
        <v>221588.9599999981</v>
      </c>
      <c r="AX18" s="82" t="s">
        <v>175</v>
      </c>
      <c r="AY18" s="102" t="s">
        <v>220</v>
      </c>
    </row>
    <row r="19" spans="1:51" ht="51" x14ac:dyDescent="0.25">
      <c r="A19" s="62" t="s">
        <v>77</v>
      </c>
      <c r="B19" s="62" t="s">
        <v>78</v>
      </c>
      <c r="C19" s="75" t="s">
        <v>114</v>
      </c>
      <c r="D19" s="63" t="s">
        <v>80</v>
      </c>
      <c r="E19" s="10" t="s">
        <v>46</v>
      </c>
      <c r="F19" s="66" t="s">
        <v>115</v>
      </c>
      <c r="G19" s="12">
        <v>45247</v>
      </c>
      <c r="H19" s="12">
        <v>46387</v>
      </c>
      <c r="I19" s="30">
        <v>3161</v>
      </c>
      <c r="J19" s="30">
        <v>65</v>
      </c>
      <c r="K19" s="13">
        <v>34</v>
      </c>
      <c r="L19" s="15">
        <v>5716150</v>
      </c>
      <c r="M19" s="19"/>
      <c r="N19" s="14"/>
      <c r="O19" s="14">
        <f t="shared" si="2"/>
        <v>5716150</v>
      </c>
      <c r="P19" s="14"/>
      <c r="Q19" s="14"/>
      <c r="R19" s="14">
        <v>593974</v>
      </c>
      <c r="S19" s="14">
        <v>2721280</v>
      </c>
      <c r="T19" s="14"/>
      <c r="U19" s="14"/>
      <c r="V19" s="19">
        <f t="shared" si="3"/>
        <v>3315254</v>
      </c>
      <c r="W19" s="15">
        <f t="shared" si="4"/>
        <v>2400896</v>
      </c>
      <c r="X19" s="8"/>
      <c r="Y19" s="8"/>
      <c r="Z19" s="8"/>
      <c r="AA19" s="8">
        <v>192214.88</v>
      </c>
      <c r="AB19" s="8">
        <v>644083.94000000006</v>
      </c>
      <c r="AC19" s="8">
        <v>303465.87</v>
      </c>
      <c r="AD19" s="8"/>
      <c r="AE19" s="14">
        <f t="shared" si="5"/>
        <v>1139764.69</v>
      </c>
      <c r="AF19" s="15">
        <f t="shared" si="6"/>
        <v>1261131.31</v>
      </c>
      <c r="AG19" s="46">
        <f t="shared" si="7"/>
        <v>0.47472472360318813</v>
      </c>
      <c r="AH19" s="88" t="s">
        <v>46</v>
      </c>
      <c r="AI19" s="88">
        <v>105094.28</v>
      </c>
      <c r="AJ19" s="88">
        <v>105094.28</v>
      </c>
      <c r="AK19" s="88">
        <v>105094.28</v>
      </c>
      <c r="AL19" s="88">
        <v>105094.28</v>
      </c>
      <c r="AM19" s="88">
        <v>105094.28</v>
      </c>
      <c r="AN19" s="88">
        <v>105094.28</v>
      </c>
      <c r="AO19" s="88">
        <v>105094.28</v>
      </c>
      <c r="AP19" s="88">
        <v>105094.28</v>
      </c>
      <c r="AQ19" s="88">
        <v>105094.28</v>
      </c>
      <c r="AR19" s="88">
        <v>105094.28</v>
      </c>
      <c r="AS19" s="88">
        <v>105094.28</v>
      </c>
      <c r="AT19" s="88">
        <v>105094.23</v>
      </c>
      <c r="AU19" s="88"/>
      <c r="AV19" s="87">
        <f t="shared" si="8"/>
        <v>1261131.31</v>
      </c>
      <c r="AW19" s="87">
        <f t="shared" si="9"/>
        <v>0</v>
      </c>
      <c r="AX19" s="82" t="s">
        <v>175</v>
      </c>
      <c r="AY19" s="102" t="s">
        <v>184</v>
      </c>
    </row>
    <row r="20" spans="1:51" x14ac:dyDescent="0.25">
      <c r="A20" s="32"/>
      <c r="B20" s="32"/>
      <c r="C20" s="76"/>
      <c r="D20" s="33"/>
      <c r="E20" s="33"/>
      <c r="F20" s="68"/>
      <c r="G20" s="35"/>
      <c r="H20" s="35"/>
      <c r="I20" s="45"/>
      <c r="J20" s="45"/>
      <c r="K20" s="36"/>
      <c r="L20" s="37">
        <f t="shared" ref="L20:AF20" si="10">SUM(L4:L19)</f>
        <v>111894263</v>
      </c>
      <c r="M20" s="37">
        <f t="shared" si="10"/>
        <v>3344021</v>
      </c>
      <c r="N20" s="37">
        <f t="shared" si="10"/>
        <v>0</v>
      </c>
      <c r="O20" s="37">
        <f t="shared" si="10"/>
        <v>115238284</v>
      </c>
      <c r="P20" s="37">
        <f t="shared" si="10"/>
        <v>660000</v>
      </c>
      <c r="Q20" s="37">
        <f t="shared" si="10"/>
        <v>5000000</v>
      </c>
      <c r="R20" s="37">
        <f t="shared" si="10"/>
        <v>8238068</v>
      </c>
      <c r="S20" s="37">
        <f t="shared" si="10"/>
        <v>2721280</v>
      </c>
      <c r="T20" s="37">
        <f t="shared" si="10"/>
        <v>0</v>
      </c>
      <c r="U20" s="37">
        <f t="shared" si="10"/>
        <v>0</v>
      </c>
      <c r="V20" s="37">
        <f t="shared" si="10"/>
        <v>16619348</v>
      </c>
      <c r="W20" s="37">
        <f t="shared" si="10"/>
        <v>98618936</v>
      </c>
      <c r="X20" s="7">
        <f t="shared" si="10"/>
        <v>0</v>
      </c>
      <c r="Y20" s="7">
        <f t="shared" si="10"/>
        <v>0</v>
      </c>
      <c r="Z20" s="7">
        <f t="shared" si="10"/>
        <v>5186059.5500000007</v>
      </c>
      <c r="AA20" s="7">
        <f t="shared" si="10"/>
        <v>19027253.27</v>
      </c>
      <c r="AB20" s="7">
        <f t="shared" si="10"/>
        <v>28603516.319999997</v>
      </c>
      <c r="AC20" s="7">
        <f t="shared" si="10"/>
        <v>12064690.229999999</v>
      </c>
      <c r="AD20" s="7">
        <f t="shared" si="10"/>
        <v>0</v>
      </c>
      <c r="AE20" s="37">
        <f t="shared" si="10"/>
        <v>64881519.369999997</v>
      </c>
      <c r="AF20" s="37">
        <f t="shared" si="10"/>
        <v>33737416.629999995</v>
      </c>
      <c r="AG20" s="34"/>
      <c r="AH20" s="90"/>
      <c r="AI20" s="90"/>
      <c r="AJ20" s="90"/>
      <c r="AK20" s="90"/>
      <c r="AL20" s="90"/>
      <c r="AM20" s="90"/>
      <c r="AN20" s="90"/>
      <c r="AO20" s="90"/>
      <c r="AP20" s="90"/>
      <c r="AQ20" s="90"/>
      <c r="AR20" s="90"/>
      <c r="AS20" s="90"/>
      <c r="AT20" s="90"/>
      <c r="AU20" s="90"/>
      <c r="AV20" s="90"/>
      <c r="AW20" s="90"/>
      <c r="AX20" s="79"/>
      <c r="AY20" s="79"/>
    </row>
    <row r="21" spans="1:51" x14ac:dyDescent="0.25">
      <c r="AC21" s="31"/>
    </row>
  </sheetData>
  <mergeCells count="2">
    <mergeCell ref="AH1:AW2"/>
    <mergeCell ref="AE2:AF2"/>
  </mergeCells>
  <hyperlinks>
    <hyperlink ref="C18" location="'406-24JBMHP01'!A1" display="24JBMHP01" xr:uid="{06983338-2A57-4E3F-8868-24506F654264}"/>
    <hyperlink ref="C17" location="'406-24FPROS01'!Print_Area" display="24FRPOS01" xr:uid="{43934026-34ED-41F2-A997-ECDBF1A9F283}"/>
    <hyperlink ref="C19" location="'406-24SNFLT01'!Print_Area" display="24SNFLT01" xr:uid="{1E84ABB4-FD85-4C24-8B3A-0950377C66EA}"/>
    <hyperlink ref="C10" location="'406-23HCWSS02'!Print_Area" display="23HCWSS02" xr:uid="{0ABC0EB7-208C-4881-96EE-FBD2CA5922AD}"/>
    <hyperlink ref="C16" location="'406-23RHSCC01'!Print_Area" display="23RHSCC01" xr:uid="{EE422C5F-1BBF-44C6-AD9F-7FEBE1B5DD25}"/>
    <hyperlink ref="C5" location="'406-22BHSTF01b-c'!Print_Area" display="22BHSTF01b-c" xr:uid="{7FAED692-CABE-4B7C-8214-D8AFEC1D6EB7}"/>
    <hyperlink ref="C7" location="'406-23CSSBC01'!Print_Area" display="23CSSBC01" xr:uid="{E563421A-F47D-4F32-9E1D-2B20363C656C}"/>
    <hyperlink ref="C4" location="'406-22BHCGM01'!Print_Area" display="22BHCGM01" xr:uid="{2D6DC814-6FB5-4CA9-AEFE-45374E37375E}"/>
    <hyperlink ref="C13" location="'406-23LRHA01'!A1" display="23LRHA01" xr:uid="{C84AA8CE-8C2C-4719-B8C5-8AEDDDAA4357}"/>
    <hyperlink ref="C12" location="'406-23LCCMS01'!Print_Area" display="23LCCMS01" xr:uid="{A345682A-A9F3-4F25-A401-D0BCC1F713E3}"/>
    <hyperlink ref="C14" location="'406-23NBSTR01'!Print_Area" display="23NBSTR01" xr:uid="{DB29F164-4F96-46E2-A6B7-050F306E4F5D}"/>
    <hyperlink ref="C9" location="'406-23GIDTR01'!Print_Area" display="23GIDTR01" xr:uid="{D417B4F6-5371-4B42-A6B1-C1860456D4C1}"/>
    <hyperlink ref="C6" location="'406-23CFAEP01'!Print_Area" display="23CFAEP01" xr:uid="{00BF3AA1-727B-415E-9352-00F3030B3BAC}"/>
    <hyperlink ref="C15" location="'406-23RCCLV01'!Print_Area" display="23RCCLV01" xr:uid="{CAD13089-8981-4D84-80A3-46D027479249}"/>
    <hyperlink ref="C8" location="'406-23EMGCS01'!A1" display="23EMGCS01" xr:uid="{C897D9FD-E0DE-4B01-A160-59B46F97A4F4}"/>
    <hyperlink ref="C11" location="'406-23IBCLC02'!A1" display="23IBCLC02" xr:uid="{BC74CBC9-0538-4FDF-A2A3-D3128890E9D1}"/>
  </hyperlink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02638-CD12-44E3-AF6B-57AFE5D288F3}">
  <dimension ref="A1:AY9"/>
  <sheetViews>
    <sheetView workbookViewId="0"/>
  </sheetViews>
  <sheetFormatPr defaultColWidth="9.42578125" defaultRowHeight="15" x14ac:dyDescent="0.25"/>
  <cols>
    <col min="1" max="1" width="8.28515625" customWidth="1"/>
    <col min="2" max="2" width="7.7109375" customWidth="1"/>
    <col min="3" max="3" width="15.5703125" style="77" bestFit="1" customWidth="1"/>
    <col min="4" max="4" width="12.7109375" customWidth="1"/>
    <col min="5" max="5" width="15.7109375" style="39" customWidth="1"/>
    <col min="6" max="6" width="31.5703125" style="69" customWidth="1"/>
    <col min="7" max="7" width="11" customWidth="1"/>
    <col min="8" max="8" width="11.140625" customWidth="1"/>
    <col min="9" max="9" width="7.85546875" style="41" customWidth="1"/>
    <col min="10" max="10" width="8" style="41" customWidth="1"/>
    <col min="11" max="11" width="7.140625" hidden="1" customWidth="1"/>
    <col min="12" max="12" width="16.140625" hidden="1" customWidth="1"/>
    <col min="13" max="13" width="16.85546875" hidden="1" customWidth="1"/>
    <col min="14" max="14" width="14.5703125" hidden="1" customWidth="1"/>
    <col min="15" max="15" width="15.28515625" style="41" customWidth="1"/>
    <col min="16" max="17" width="16.140625" hidden="1" customWidth="1"/>
    <col min="18" max="18" width="16.140625" style="31" hidden="1" customWidth="1"/>
    <col min="19" max="20" width="16.140625" hidden="1" customWidth="1"/>
    <col min="21" max="21" width="15.5703125" hidden="1" customWidth="1"/>
    <col min="22" max="22" width="15" customWidth="1"/>
    <col min="23" max="23" width="17.7109375" customWidth="1"/>
    <col min="24" max="24" width="21.140625" hidden="1" customWidth="1"/>
    <col min="25" max="26" width="16.28515625" hidden="1" customWidth="1"/>
    <col min="27" max="27" width="16" hidden="1" customWidth="1"/>
    <col min="28" max="28" width="13.85546875" hidden="1" customWidth="1"/>
    <col min="29" max="29" width="15.28515625" hidden="1" customWidth="1"/>
    <col min="30" max="30" width="10.140625" hidden="1" customWidth="1"/>
    <col min="31" max="31" width="18.140625" customWidth="1"/>
    <col min="32" max="32" width="16.85546875" style="41" bestFit="1" customWidth="1"/>
    <col min="33" max="33" width="9.42578125" style="38"/>
    <col min="34" max="49" width="17" style="80" customWidth="1"/>
    <col min="50" max="50" width="25.85546875" style="80" customWidth="1"/>
    <col min="51" max="51" width="45.140625" style="80" customWidth="1"/>
  </cols>
  <sheetData>
    <row r="1" spans="1:51" s="1" customFormat="1" ht="12.75" thickBot="1" x14ac:dyDescent="0.25">
      <c r="C1" s="70"/>
      <c r="E1" s="2"/>
      <c r="F1" s="65"/>
      <c r="I1" s="40"/>
      <c r="J1" s="40"/>
      <c r="L1" s="3" t="e">
        <f>#REF!</f>
        <v>#REF!</v>
      </c>
      <c r="M1" s="3" t="e">
        <f>#REF!</f>
        <v>#REF!</v>
      </c>
      <c r="N1" s="3" t="e">
        <f>#REF!</f>
        <v>#REF!</v>
      </c>
      <c r="O1" s="4" t="e">
        <f>#REF!</f>
        <v>#REF!</v>
      </c>
      <c r="P1" s="3" t="e">
        <f>#REF!</f>
        <v>#REF!</v>
      </c>
      <c r="Q1" s="3" t="e">
        <f>#REF!</f>
        <v>#REF!</v>
      </c>
      <c r="R1" s="3" t="e">
        <f>#REF!</f>
        <v>#REF!</v>
      </c>
      <c r="S1" s="3" t="e">
        <f>#REF!</f>
        <v>#REF!</v>
      </c>
      <c r="T1" s="3" t="e">
        <f>#REF!</f>
        <v>#REF!</v>
      </c>
      <c r="U1" s="3" t="e">
        <f>#REF!</f>
        <v>#REF!</v>
      </c>
      <c r="V1" s="3" t="e">
        <f>#REF!</f>
        <v>#REF!</v>
      </c>
      <c r="W1" s="3" t="e">
        <f>#REF!</f>
        <v>#REF!</v>
      </c>
      <c r="X1" s="3">
        <f t="shared" ref="X1:AD1" si="0">SUM(X4:X8)</f>
        <v>0</v>
      </c>
      <c r="Y1" s="3">
        <f t="shared" si="0"/>
        <v>0</v>
      </c>
      <c r="Z1" s="3">
        <f t="shared" si="0"/>
        <v>22837520.560000002</v>
      </c>
      <c r="AA1" s="3">
        <f t="shared" si="0"/>
        <v>44599553.459999993</v>
      </c>
      <c r="AB1" s="3">
        <f t="shared" si="0"/>
        <v>50077960.160000004</v>
      </c>
      <c r="AC1" s="3">
        <f t="shared" si="0"/>
        <v>24592344.899999999</v>
      </c>
      <c r="AD1" s="3">
        <f t="shared" si="0"/>
        <v>0</v>
      </c>
      <c r="AE1" s="3">
        <f>SUM(X1:AD1)</f>
        <v>142107379.08000001</v>
      </c>
      <c r="AF1" s="40"/>
      <c r="AG1" s="5"/>
      <c r="AH1" s="107" t="s">
        <v>0</v>
      </c>
      <c r="AI1" s="107"/>
      <c r="AJ1" s="107"/>
      <c r="AK1" s="107"/>
      <c r="AL1" s="107"/>
      <c r="AM1" s="107"/>
      <c r="AN1" s="107"/>
      <c r="AO1" s="107"/>
      <c r="AP1" s="107"/>
      <c r="AQ1" s="107"/>
      <c r="AR1" s="107"/>
      <c r="AS1" s="107"/>
      <c r="AT1" s="107"/>
      <c r="AU1" s="107"/>
      <c r="AV1" s="107"/>
      <c r="AW1" s="107"/>
      <c r="AX1" s="78"/>
      <c r="AY1" s="78"/>
    </row>
    <row r="2" spans="1:51" s="1" customFormat="1" ht="16.5" thickBot="1" x14ac:dyDescent="0.3">
      <c r="C2" s="70"/>
      <c r="E2" s="2"/>
      <c r="F2" s="65"/>
      <c r="I2" s="40"/>
      <c r="J2" s="40"/>
      <c r="L2" s="3"/>
      <c r="M2" s="3"/>
      <c r="N2" s="3"/>
      <c r="O2" s="4"/>
      <c r="P2" s="3"/>
      <c r="Q2" s="3"/>
      <c r="R2" s="3"/>
      <c r="S2" s="3"/>
      <c r="T2" s="3"/>
      <c r="U2" s="3"/>
      <c r="V2" s="3"/>
      <c r="W2" s="3"/>
      <c r="X2" s="94" t="s">
        <v>1</v>
      </c>
      <c r="Y2" s="92"/>
      <c r="Z2" s="92"/>
      <c r="AA2" s="92"/>
      <c r="AB2" s="92"/>
      <c r="AC2" s="92"/>
      <c r="AD2" s="92"/>
      <c r="AE2" s="105" t="s">
        <v>2</v>
      </c>
      <c r="AF2" s="106"/>
      <c r="AG2" s="5"/>
      <c r="AH2" s="108"/>
      <c r="AI2" s="108"/>
      <c r="AJ2" s="108"/>
      <c r="AK2" s="108"/>
      <c r="AL2" s="108"/>
      <c r="AM2" s="108"/>
      <c r="AN2" s="108"/>
      <c r="AO2" s="108"/>
      <c r="AP2" s="108"/>
      <c r="AQ2" s="108"/>
      <c r="AR2" s="108"/>
      <c r="AS2" s="108"/>
      <c r="AT2" s="108"/>
      <c r="AU2" s="108"/>
      <c r="AV2" s="108"/>
      <c r="AW2" s="108"/>
      <c r="AX2" s="78"/>
      <c r="AY2" s="78"/>
    </row>
    <row r="3" spans="1:51" ht="64.5" thickBot="1" x14ac:dyDescent="0.3">
      <c r="A3" s="49" t="s">
        <v>3</v>
      </c>
      <c r="B3" s="50" t="s">
        <v>4</v>
      </c>
      <c r="C3" s="51" t="s">
        <v>5</v>
      </c>
      <c r="D3" s="49" t="s">
        <v>6</v>
      </c>
      <c r="E3" s="52" t="s">
        <v>7</v>
      </c>
      <c r="F3" s="53" t="s">
        <v>8</v>
      </c>
      <c r="G3" s="54" t="s">
        <v>9</v>
      </c>
      <c r="H3" s="54" t="s">
        <v>10</v>
      </c>
      <c r="I3" s="54" t="s">
        <v>11</v>
      </c>
      <c r="J3" s="54" t="s">
        <v>12</v>
      </c>
      <c r="K3" s="54" t="s">
        <v>13</v>
      </c>
      <c r="L3" s="55" t="s">
        <v>14</v>
      </c>
      <c r="M3" s="56" t="s">
        <v>15</v>
      </c>
      <c r="N3" s="55" t="s">
        <v>16</v>
      </c>
      <c r="O3" s="55" t="s">
        <v>17</v>
      </c>
      <c r="P3" s="57" t="s">
        <v>18</v>
      </c>
      <c r="Q3" s="57" t="s">
        <v>19</v>
      </c>
      <c r="R3" s="57" t="s">
        <v>20</v>
      </c>
      <c r="S3" s="57" t="s">
        <v>21</v>
      </c>
      <c r="T3" s="57" t="s">
        <v>22</v>
      </c>
      <c r="U3" s="57" t="s">
        <v>23</v>
      </c>
      <c r="V3" s="57" t="s">
        <v>24</v>
      </c>
      <c r="W3" s="58" t="s">
        <v>25</v>
      </c>
      <c r="X3" s="93" t="s">
        <v>26</v>
      </c>
      <c r="Y3" s="93" t="s">
        <v>27</v>
      </c>
      <c r="Z3" s="93" t="s">
        <v>28</v>
      </c>
      <c r="AA3" s="93" t="s">
        <v>29</v>
      </c>
      <c r="AB3" s="93" t="s">
        <v>30</v>
      </c>
      <c r="AC3" s="93" t="s">
        <v>31</v>
      </c>
      <c r="AD3" s="93" t="s">
        <v>32</v>
      </c>
      <c r="AE3" s="59" t="s">
        <v>33</v>
      </c>
      <c r="AF3" s="60" t="s">
        <v>34</v>
      </c>
      <c r="AG3" s="61" t="s">
        <v>35</v>
      </c>
      <c r="AH3" s="84" t="s">
        <v>36</v>
      </c>
      <c r="AI3" s="91">
        <v>46037</v>
      </c>
      <c r="AJ3" s="91">
        <f>AI3+30</f>
        <v>46067</v>
      </c>
      <c r="AK3" s="91">
        <f t="shared" ref="AK3:AT3" si="1">AJ3+30</f>
        <v>46097</v>
      </c>
      <c r="AL3" s="91">
        <f t="shared" si="1"/>
        <v>46127</v>
      </c>
      <c r="AM3" s="91">
        <f t="shared" si="1"/>
        <v>46157</v>
      </c>
      <c r="AN3" s="91">
        <f t="shared" si="1"/>
        <v>46187</v>
      </c>
      <c r="AO3" s="91">
        <f t="shared" si="1"/>
        <v>46217</v>
      </c>
      <c r="AP3" s="91">
        <f t="shared" si="1"/>
        <v>46247</v>
      </c>
      <c r="AQ3" s="91">
        <f t="shared" si="1"/>
        <v>46277</v>
      </c>
      <c r="AR3" s="91">
        <f t="shared" si="1"/>
        <v>46307</v>
      </c>
      <c r="AS3" s="91">
        <f t="shared" si="1"/>
        <v>46337</v>
      </c>
      <c r="AT3" s="91">
        <f t="shared" si="1"/>
        <v>46367</v>
      </c>
      <c r="AU3" s="84" t="s">
        <v>37</v>
      </c>
      <c r="AV3" s="84" t="s">
        <v>38</v>
      </c>
      <c r="AW3" s="84" t="s">
        <v>39</v>
      </c>
      <c r="AX3" s="85" t="s">
        <v>40</v>
      </c>
      <c r="AY3" s="86" t="s">
        <v>41</v>
      </c>
    </row>
    <row r="4" spans="1:51" ht="115.5" x14ac:dyDescent="0.25">
      <c r="A4" s="62" t="s">
        <v>116</v>
      </c>
      <c r="B4" s="62" t="s">
        <v>117</v>
      </c>
      <c r="C4" s="72" t="s">
        <v>118</v>
      </c>
      <c r="D4" s="63" t="s">
        <v>119</v>
      </c>
      <c r="E4" s="10" t="s">
        <v>46</v>
      </c>
      <c r="F4" s="66" t="s">
        <v>120</v>
      </c>
      <c r="G4" s="12">
        <v>44859</v>
      </c>
      <c r="H4" s="12">
        <v>46387</v>
      </c>
      <c r="I4" s="30">
        <v>3228</v>
      </c>
      <c r="J4" s="30">
        <v>53</v>
      </c>
      <c r="K4" s="13">
        <v>24</v>
      </c>
      <c r="L4" s="15">
        <v>3112296</v>
      </c>
      <c r="M4" s="14"/>
      <c r="N4" s="14">
        <v>9387704</v>
      </c>
      <c r="O4" s="14">
        <f t="shared" ref="O4:O7" si="2">SUM(L4:N4)</f>
        <v>12500000</v>
      </c>
      <c r="P4" s="14"/>
      <c r="Q4" s="14"/>
      <c r="R4" s="14"/>
      <c r="S4" s="14"/>
      <c r="T4" s="14"/>
      <c r="U4" s="14"/>
      <c r="V4" s="14">
        <f t="shared" ref="V4:V7" si="3">SUM(P4:U4)</f>
        <v>0</v>
      </c>
      <c r="W4" s="15">
        <f t="shared" ref="W4:W7" si="4">L4-V4+M4+N4</f>
        <v>12500000</v>
      </c>
      <c r="X4" s="8"/>
      <c r="Y4" s="8"/>
      <c r="Z4" s="8"/>
      <c r="AA4" s="8">
        <v>4148997.17</v>
      </c>
      <c r="AB4" s="8">
        <v>3964544.8200000003</v>
      </c>
      <c r="AC4" s="8">
        <v>890825.61</v>
      </c>
      <c r="AD4" s="8"/>
      <c r="AE4" s="14">
        <f t="shared" ref="AE4:AE7" si="5">SUM(X4:AD4)</f>
        <v>9004367.5999999996</v>
      </c>
      <c r="AF4" s="15">
        <f t="shared" ref="AF4:AF7" si="6">W4-AE4</f>
        <v>3495632.4000000004</v>
      </c>
      <c r="AG4" s="46">
        <f t="shared" ref="AG4:AG7" si="7">AE4/W4</f>
        <v>0.72034940800000002</v>
      </c>
      <c r="AH4" s="88">
        <v>0</v>
      </c>
      <c r="AI4" s="88">
        <v>564202</v>
      </c>
      <c r="AJ4" s="97">
        <f>510250</f>
        <v>510250</v>
      </c>
      <c r="AK4" s="97">
        <v>525906</v>
      </c>
      <c r="AL4" s="97">
        <v>743995</v>
      </c>
      <c r="AM4" s="97">
        <v>625637.4</v>
      </c>
      <c r="AN4" s="88">
        <v>525642</v>
      </c>
      <c r="AO4" s="88"/>
      <c r="AP4" s="88"/>
      <c r="AQ4" s="88"/>
      <c r="AR4" s="88"/>
      <c r="AS4" s="88"/>
      <c r="AT4" s="88"/>
      <c r="AU4" s="88"/>
      <c r="AV4" s="87">
        <f t="shared" ref="AV4" si="8">SUM(AH4:AU4)</f>
        <v>3495632.4</v>
      </c>
      <c r="AW4" s="87">
        <f t="shared" ref="AW4:AW7" si="9">AV4-AF4</f>
        <v>0</v>
      </c>
      <c r="AX4" s="82" t="s">
        <v>185</v>
      </c>
      <c r="AY4" s="95" t="s">
        <v>186</v>
      </c>
    </row>
    <row r="5" spans="1:51" ht="102.75" x14ac:dyDescent="0.25">
      <c r="A5" s="62" t="s">
        <v>116</v>
      </c>
      <c r="B5" s="62" t="s">
        <v>117</v>
      </c>
      <c r="C5" s="72" t="s">
        <v>121</v>
      </c>
      <c r="D5" s="63" t="s">
        <v>119</v>
      </c>
      <c r="E5" s="10" t="s">
        <v>46</v>
      </c>
      <c r="F5" s="66" t="s">
        <v>122</v>
      </c>
      <c r="G5" s="12">
        <v>44687</v>
      </c>
      <c r="H5" s="12">
        <v>46387</v>
      </c>
      <c r="I5" s="42">
        <v>3267</v>
      </c>
      <c r="J5" s="30">
        <v>55</v>
      </c>
      <c r="K5" s="13">
        <v>27</v>
      </c>
      <c r="L5" s="15">
        <v>30000000</v>
      </c>
      <c r="M5" s="14"/>
      <c r="N5" s="14"/>
      <c r="O5" s="14">
        <f t="shared" si="2"/>
        <v>30000000</v>
      </c>
      <c r="P5" s="14"/>
      <c r="Q5" s="14"/>
      <c r="R5" s="14"/>
      <c r="S5" s="14"/>
      <c r="T5" s="14"/>
      <c r="U5" s="14"/>
      <c r="V5" s="14">
        <f t="shared" si="3"/>
        <v>0</v>
      </c>
      <c r="W5" s="15">
        <f t="shared" si="4"/>
        <v>30000000</v>
      </c>
      <c r="X5" s="8"/>
      <c r="Y5" s="8"/>
      <c r="Z5" s="8">
        <v>8455742.5600000005</v>
      </c>
      <c r="AA5" s="8">
        <v>11363038.519999998</v>
      </c>
      <c r="AB5" s="8">
        <v>5323464.9200000009</v>
      </c>
      <c r="AC5" s="8">
        <v>3279282.63</v>
      </c>
      <c r="AD5" s="8"/>
      <c r="AE5" s="14">
        <f t="shared" si="5"/>
        <v>28421528.629999999</v>
      </c>
      <c r="AF5" s="15">
        <f t="shared" si="6"/>
        <v>1578471.370000001</v>
      </c>
      <c r="AG5" s="46">
        <f t="shared" si="7"/>
        <v>0.9473842876666666</v>
      </c>
      <c r="AH5" s="88">
        <v>0</v>
      </c>
      <c r="AI5" s="88">
        <v>134498.85</v>
      </c>
      <c r="AJ5" s="88">
        <v>107959.28</v>
      </c>
      <c r="AK5" s="88">
        <v>208329.84</v>
      </c>
      <c r="AL5" s="88">
        <v>7959.29</v>
      </c>
      <c r="AM5" s="88">
        <v>619215.79</v>
      </c>
      <c r="AN5" s="88">
        <v>13200</v>
      </c>
      <c r="AO5" s="88">
        <v>209459.29</v>
      </c>
      <c r="AP5" s="88">
        <v>207959.29</v>
      </c>
      <c r="AQ5" s="88">
        <v>35960.239999999998</v>
      </c>
      <c r="AR5" s="88">
        <v>7959.29</v>
      </c>
      <c r="AS5" s="88">
        <v>15000</v>
      </c>
      <c r="AT5" s="88">
        <v>10970.21</v>
      </c>
      <c r="AU5" s="88"/>
      <c r="AV5" s="87">
        <f t="shared" ref="AV5:AV7" si="10">SUM(AH5:AU5)</f>
        <v>1578471.37</v>
      </c>
      <c r="AW5" s="87">
        <f t="shared" si="9"/>
        <v>0</v>
      </c>
      <c r="AX5" s="82" t="s">
        <v>185</v>
      </c>
      <c r="AY5" s="95" t="s">
        <v>210</v>
      </c>
    </row>
    <row r="6" spans="1:51" ht="141" x14ac:dyDescent="0.25">
      <c r="A6" s="62" t="s">
        <v>116</v>
      </c>
      <c r="B6" s="62" t="s">
        <v>123</v>
      </c>
      <c r="C6" s="73" t="s">
        <v>124</v>
      </c>
      <c r="D6" s="63" t="s">
        <v>119</v>
      </c>
      <c r="E6" s="10" t="s">
        <v>46</v>
      </c>
      <c r="F6" s="66" t="s">
        <v>125</v>
      </c>
      <c r="G6" s="12">
        <v>44854</v>
      </c>
      <c r="H6" s="12">
        <v>46387</v>
      </c>
      <c r="I6" s="42">
        <v>3228</v>
      </c>
      <c r="J6" s="30">
        <v>64</v>
      </c>
      <c r="K6" s="13">
        <v>24</v>
      </c>
      <c r="L6" s="15">
        <v>48510328</v>
      </c>
      <c r="M6" s="14"/>
      <c r="N6" s="14"/>
      <c r="O6" s="14">
        <f t="shared" si="2"/>
        <v>48510328</v>
      </c>
      <c r="P6" s="14"/>
      <c r="Q6" s="14"/>
      <c r="R6" s="14"/>
      <c r="S6" s="14"/>
      <c r="T6" s="14"/>
      <c r="U6" s="14"/>
      <c r="V6" s="14">
        <f t="shared" si="3"/>
        <v>0</v>
      </c>
      <c r="W6" s="15">
        <f t="shared" si="4"/>
        <v>48510328</v>
      </c>
      <c r="X6" s="8"/>
      <c r="Y6" s="8"/>
      <c r="Z6" s="8">
        <v>2963017.72</v>
      </c>
      <c r="AA6" s="8">
        <v>6787741.040000001</v>
      </c>
      <c r="AB6" s="8">
        <v>10541855.110000001</v>
      </c>
      <c r="AC6" s="8">
        <v>7350285.5899999999</v>
      </c>
      <c r="AD6" s="8"/>
      <c r="AE6" s="14">
        <f t="shared" si="5"/>
        <v>27642899.460000005</v>
      </c>
      <c r="AF6" s="15">
        <f t="shared" si="6"/>
        <v>20867428.539999995</v>
      </c>
      <c r="AG6" s="46">
        <f t="shared" si="7"/>
        <v>0.5698353443415185</v>
      </c>
      <c r="AH6" s="88">
        <v>0</v>
      </c>
      <c r="AI6" s="88">
        <v>39408.5</v>
      </c>
      <c r="AJ6" s="98">
        <v>1718314</v>
      </c>
      <c r="AK6" s="98">
        <v>1935015</v>
      </c>
      <c r="AL6" s="98">
        <f>1935015+1315636</f>
        <v>3250651</v>
      </c>
      <c r="AM6" s="98">
        <v>2967120</v>
      </c>
      <c r="AN6" s="98">
        <v>3013235</v>
      </c>
      <c r="AO6" s="98">
        <v>1207952</v>
      </c>
      <c r="AP6" s="98">
        <v>1934308.45</v>
      </c>
      <c r="AQ6" s="98">
        <v>1121286</v>
      </c>
      <c r="AR6" s="98">
        <v>1235001</v>
      </c>
      <c r="AS6" s="98">
        <v>1235001</v>
      </c>
      <c r="AT6" s="98">
        <f>1210137-0.41</f>
        <v>1210136.5900000001</v>
      </c>
      <c r="AU6" s="88"/>
      <c r="AV6" s="87">
        <f t="shared" si="10"/>
        <v>20867428.539999999</v>
      </c>
      <c r="AW6" s="87">
        <f t="shared" si="9"/>
        <v>0</v>
      </c>
      <c r="AX6" s="82" t="s">
        <v>185</v>
      </c>
      <c r="AY6" s="95" t="s">
        <v>211</v>
      </c>
    </row>
    <row r="7" spans="1:51" ht="294" x14ac:dyDescent="0.25">
      <c r="A7" s="62" t="s">
        <v>116</v>
      </c>
      <c r="B7" s="62" t="s">
        <v>123</v>
      </c>
      <c r="C7" s="71" t="s">
        <v>126</v>
      </c>
      <c r="D7" s="63" t="s">
        <v>119</v>
      </c>
      <c r="E7" s="11"/>
      <c r="F7" s="67" t="s">
        <v>127</v>
      </c>
      <c r="G7" s="23">
        <v>45456</v>
      </c>
      <c r="H7" s="23">
        <v>46022</v>
      </c>
      <c r="I7" s="43">
        <v>3228</v>
      </c>
      <c r="J7" s="43">
        <v>49</v>
      </c>
      <c r="K7" s="24">
        <v>24</v>
      </c>
      <c r="L7" s="25">
        <v>6239322</v>
      </c>
      <c r="M7" s="22"/>
      <c r="N7" s="22"/>
      <c r="O7" s="22">
        <f t="shared" si="2"/>
        <v>6239322</v>
      </c>
      <c r="P7" s="22"/>
      <c r="Q7" s="22"/>
      <c r="R7" s="22"/>
      <c r="S7" s="22"/>
      <c r="T7" s="22"/>
      <c r="U7" s="22"/>
      <c r="V7" s="22">
        <f t="shared" si="3"/>
        <v>0</v>
      </c>
      <c r="W7" s="25">
        <f t="shared" si="4"/>
        <v>6239322</v>
      </c>
      <c r="X7" s="8"/>
      <c r="Y7" s="8"/>
      <c r="Z7" s="8"/>
      <c r="AA7" s="8"/>
      <c r="AB7" s="8">
        <v>5209115.2300000004</v>
      </c>
      <c r="AC7" s="8">
        <v>775778.61999999988</v>
      </c>
      <c r="AD7" s="8"/>
      <c r="AE7" s="14">
        <f t="shared" si="5"/>
        <v>5984893.8500000006</v>
      </c>
      <c r="AF7" s="25">
        <f t="shared" si="6"/>
        <v>254428.14999999944</v>
      </c>
      <c r="AG7" s="46">
        <f t="shared" si="7"/>
        <v>0.95922182730751848</v>
      </c>
      <c r="AH7" s="88">
        <v>0</v>
      </c>
      <c r="AI7" s="88">
        <v>8180.63</v>
      </c>
      <c r="AJ7" s="88">
        <v>246247.52</v>
      </c>
      <c r="AK7" s="88">
        <v>0</v>
      </c>
      <c r="AL7" s="88">
        <v>0</v>
      </c>
      <c r="AM7" s="88">
        <v>0</v>
      </c>
      <c r="AN7" s="88">
        <v>0</v>
      </c>
      <c r="AO7" s="88">
        <v>0</v>
      </c>
      <c r="AP7" s="88">
        <v>0</v>
      </c>
      <c r="AQ7" s="88">
        <v>0</v>
      </c>
      <c r="AR7" s="88">
        <v>0</v>
      </c>
      <c r="AS7" s="88">
        <v>0</v>
      </c>
      <c r="AT7" s="88">
        <v>0</v>
      </c>
      <c r="AU7" s="88"/>
      <c r="AV7" s="87">
        <f t="shared" si="10"/>
        <v>254428.15</v>
      </c>
      <c r="AW7" s="87">
        <f t="shared" si="9"/>
        <v>5.5297277867794037E-10</v>
      </c>
      <c r="AX7" s="82" t="s">
        <v>187</v>
      </c>
      <c r="AY7" s="95" t="s">
        <v>188</v>
      </c>
    </row>
    <row r="8" spans="1:51" x14ac:dyDescent="0.25">
      <c r="A8" s="32"/>
      <c r="B8" s="32"/>
      <c r="C8" s="76"/>
      <c r="D8" s="33"/>
      <c r="E8" s="33"/>
      <c r="F8" s="68"/>
      <c r="G8" s="35"/>
      <c r="H8" s="35"/>
      <c r="I8" s="45"/>
      <c r="J8" s="45"/>
      <c r="K8" s="36"/>
      <c r="L8" s="37">
        <f t="shared" ref="L8:AF8" si="11">SUM(L4:L7)</f>
        <v>87861946</v>
      </c>
      <c r="M8" s="37">
        <f t="shared" si="11"/>
        <v>0</v>
      </c>
      <c r="N8" s="37">
        <f t="shared" si="11"/>
        <v>9387704</v>
      </c>
      <c r="O8" s="37">
        <f t="shared" si="11"/>
        <v>97249650</v>
      </c>
      <c r="P8" s="37">
        <f t="shared" si="11"/>
        <v>0</v>
      </c>
      <c r="Q8" s="37">
        <f t="shared" si="11"/>
        <v>0</v>
      </c>
      <c r="R8" s="37">
        <f t="shared" si="11"/>
        <v>0</v>
      </c>
      <c r="S8" s="37">
        <f t="shared" si="11"/>
        <v>0</v>
      </c>
      <c r="T8" s="37">
        <f t="shared" si="11"/>
        <v>0</v>
      </c>
      <c r="U8" s="37">
        <f t="shared" si="11"/>
        <v>0</v>
      </c>
      <c r="V8" s="37">
        <f t="shared" si="11"/>
        <v>0</v>
      </c>
      <c r="W8" s="37">
        <f t="shared" si="11"/>
        <v>97249650</v>
      </c>
      <c r="X8" s="7">
        <f t="shared" si="11"/>
        <v>0</v>
      </c>
      <c r="Y8" s="7">
        <f t="shared" si="11"/>
        <v>0</v>
      </c>
      <c r="Z8" s="7">
        <f t="shared" si="11"/>
        <v>11418760.280000001</v>
      </c>
      <c r="AA8" s="7">
        <f t="shared" si="11"/>
        <v>22299776.729999997</v>
      </c>
      <c r="AB8" s="7">
        <f t="shared" si="11"/>
        <v>25038980.080000002</v>
      </c>
      <c r="AC8" s="7">
        <f t="shared" si="11"/>
        <v>12296172.449999999</v>
      </c>
      <c r="AD8" s="7">
        <f t="shared" si="11"/>
        <v>0</v>
      </c>
      <c r="AE8" s="37">
        <f t="shared" si="11"/>
        <v>71053689.539999992</v>
      </c>
      <c r="AF8" s="37">
        <f t="shared" si="11"/>
        <v>26195960.459999993</v>
      </c>
      <c r="AG8" s="34"/>
      <c r="AH8" s="90"/>
      <c r="AI8" s="90"/>
      <c r="AJ8" s="90"/>
      <c r="AK8" s="90"/>
      <c r="AL8" s="90"/>
      <c r="AM8" s="90"/>
      <c r="AN8" s="90"/>
      <c r="AO8" s="90"/>
      <c r="AP8" s="90"/>
      <c r="AQ8" s="90"/>
      <c r="AR8" s="90"/>
      <c r="AS8" s="90"/>
      <c r="AT8" s="90"/>
      <c r="AU8" s="90"/>
      <c r="AV8" s="90"/>
      <c r="AW8" s="90"/>
      <c r="AX8" s="79"/>
      <c r="AY8" s="79"/>
    </row>
    <row r="9" spans="1:51" x14ac:dyDescent="0.25">
      <c r="AC9" s="31"/>
    </row>
  </sheetData>
  <mergeCells count="2">
    <mergeCell ref="AH1:AW2"/>
    <mergeCell ref="AE2:AF2"/>
  </mergeCells>
  <hyperlinks>
    <hyperlink ref="C7" location="'407-24SUEBT01'!A1" display="24SUEBT01" xr:uid="{0E3A07F6-004B-4EE7-ABD3-8BA949195389}"/>
    <hyperlink ref="C4" location="'407-23ACNVM01'!Print_Area" display="23ACNVM01" xr:uid="{B2880D95-BE3A-48B5-ABDA-D42C06B914A3}"/>
    <hyperlink ref="C5" location="'407-23CHDIF01'!Print_Area" display="23CHDIF01" xr:uid="{E9C5D806-0801-4E7D-849B-CE22F82B36D7}"/>
    <hyperlink ref="C6" location="'407-23NOMAD01'!Print_Area" display="23NOMAD01" xr:uid="{9DB6587B-C3D8-4D9E-A5D7-14961DCE177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3013E-DD21-44A7-8DB6-8FA7B2EC6864}">
  <sheetPr>
    <pageSetUpPr fitToPage="1"/>
  </sheetPr>
  <dimension ref="A1:AY20"/>
  <sheetViews>
    <sheetView workbookViewId="0"/>
  </sheetViews>
  <sheetFormatPr defaultColWidth="9.42578125" defaultRowHeight="15" x14ac:dyDescent="0.25"/>
  <cols>
    <col min="1" max="1" width="8.28515625" customWidth="1"/>
    <col min="2" max="2" width="7.7109375" customWidth="1"/>
    <col min="3" max="3" width="15.5703125" style="77" bestFit="1" customWidth="1"/>
    <col min="4" max="4" width="19" customWidth="1"/>
    <col min="5" max="5" width="15.7109375" style="39" customWidth="1"/>
    <col min="6" max="6" width="31.5703125" style="69" customWidth="1"/>
    <col min="7" max="7" width="11" customWidth="1"/>
    <col min="8" max="8" width="11.140625" customWidth="1"/>
    <col min="9" max="9" width="14.85546875" style="41" hidden="1" customWidth="1"/>
    <col min="10" max="10" width="8" style="41" hidden="1" customWidth="1"/>
    <col min="11" max="11" width="7.140625" hidden="1" customWidth="1"/>
    <col min="12" max="12" width="16.140625" hidden="1" customWidth="1"/>
    <col min="13" max="13" width="16.85546875" hidden="1" customWidth="1"/>
    <col min="14" max="14" width="14.5703125" hidden="1" customWidth="1"/>
    <col min="15" max="15" width="15.28515625" style="41" customWidth="1"/>
    <col min="16" max="17" width="16.140625" hidden="1" customWidth="1"/>
    <col min="18" max="18" width="16.140625" style="31" hidden="1" customWidth="1"/>
    <col min="19" max="20" width="16.140625" hidden="1" customWidth="1"/>
    <col min="21" max="21" width="15.5703125" hidden="1" customWidth="1"/>
    <col min="22" max="22" width="15" customWidth="1"/>
    <col min="23" max="23" width="17.7109375" customWidth="1"/>
    <col min="24" max="24" width="21.140625" hidden="1" customWidth="1"/>
    <col min="25" max="26" width="16.28515625" hidden="1" customWidth="1"/>
    <col min="27" max="27" width="16" hidden="1" customWidth="1"/>
    <col min="28" max="28" width="13.85546875" hidden="1" customWidth="1"/>
    <col min="29" max="29" width="15.28515625" hidden="1" customWidth="1"/>
    <col min="30" max="30" width="10.140625" hidden="1" customWidth="1"/>
    <col min="31" max="31" width="18.140625" customWidth="1"/>
    <col min="32" max="32" width="16.85546875" style="41" customWidth="1"/>
    <col min="33" max="33" width="9.42578125" style="38"/>
    <col min="34" max="34" width="12.140625" style="80" customWidth="1"/>
    <col min="35" max="46" width="17" style="80" customWidth="1"/>
    <col min="47" max="47" width="9.42578125" style="80" customWidth="1"/>
    <col min="48" max="49" width="17" style="80" customWidth="1"/>
    <col min="50" max="50" width="17.7109375" style="80" bestFit="1" customWidth="1"/>
    <col min="51" max="51" width="51" style="80" customWidth="1"/>
  </cols>
  <sheetData>
    <row r="1" spans="1:51" s="1" customFormat="1" ht="12.75" thickBot="1" x14ac:dyDescent="0.25">
      <c r="C1" s="70"/>
      <c r="E1" s="2"/>
      <c r="F1" s="65"/>
      <c r="I1" s="40"/>
      <c r="J1" s="40"/>
      <c r="L1" s="3" t="e">
        <f>#REF!</f>
        <v>#REF!</v>
      </c>
      <c r="M1" s="3" t="e">
        <f>#REF!</f>
        <v>#REF!</v>
      </c>
      <c r="N1" s="3" t="e">
        <f>#REF!</f>
        <v>#REF!</v>
      </c>
      <c r="O1" s="4"/>
      <c r="P1" s="3" t="e">
        <f>#REF!</f>
        <v>#REF!</v>
      </c>
      <c r="Q1" s="3" t="e">
        <f>#REF!</f>
        <v>#REF!</v>
      </c>
      <c r="R1" s="3" t="e">
        <f>#REF!</f>
        <v>#REF!</v>
      </c>
      <c r="S1" s="3" t="e">
        <f>#REF!</f>
        <v>#REF!</v>
      </c>
      <c r="T1" s="3" t="e">
        <f>#REF!</f>
        <v>#REF!</v>
      </c>
      <c r="U1" s="3" t="e">
        <f>#REF!</f>
        <v>#REF!</v>
      </c>
      <c r="V1" s="3"/>
      <c r="W1" s="3"/>
      <c r="X1" s="3"/>
      <c r="Y1" s="3"/>
      <c r="Z1" s="3"/>
      <c r="AA1" s="3"/>
      <c r="AB1" s="3"/>
      <c r="AC1" s="3"/>
      <c r="AD1" s="3"/>
      <c r="AE1" s="3"/>
      <c r="AF1" s="40"/>
      <c r="AG1" s="5"/>
      <c r="AH1" s="107" t="s">
        <v>0</v>
      </c>
      <c r="AI1" s="107"/>
      <c r="AJ1" s="107"/>
      <c r="AK1" s="107"/>
      <c r="AL1" s="107"/>
      <c r="AM1" s="107"/>
      <c r="AN1" s="107"/>
      <c r="AO1" s="107"/>
      <c r="AP1" s="107"/>
      <c r="AQ1" s="107"/>
      <c r="AR1" s="107"/>
      <c r="AS1" s="107"/>
      <c r="AT1" s="107"/>
      <c r="AU1" s="107"/>
      <c r="AV1" s="107"/>
      <c r="AW1" s="107"/>
      <c r="AX1" s="78"/>
      <c r="AY1" s="78"/>
    </row>
    <row r="2" spans="1:51" s="1" customFormat="1" ht="16.5" thickBot="1" x14ac:dyDescent="0.3">
      <c r="C2" s="70"/>
      <c r="E2" s="2"/>
      <c r="F2" s="65"/>
      <c r="I2" s="40"/>
      <c r="J2" s="40"/>
      <c r="L2" s="3"/>
      <c r="M2" s="3"/>
      <c r="N2" s="3"/>
      <c r="O2" s="4"/>
      <c r="P2" s="3"/>
      <c r="Q2" s="3"/>
      <c r="R2" s="3"/>
      <c r="S2" s="3"/>
      <c r="T2" s="3"/>
      <c r="U2" s="3"/>
      <c r="V2" s="3"/>
      <c r="W2" s="3"/>
      <c r="X2" s="94" t="s">
        <v>1</v>
      </c>
      <c r="Y2" s="92"/>
      <c r="Z2" s="92"/>
      <c r="AA2" s="92"/>
      <c r="AB2" s="92"/>
      <c r="AC2" s="92"/>
      <c r="AD2" s="92"/>
      <c r="AE2" s="105" t="s">
        <v>2</v>
      </c>
      <c r="AF2" s="106"/>
      <c r="AG2" s="5"/>
      <c r="AH2" s="108"/>
      <c r="AI2" s="108"/>
      <c r="AJ2" s="108"/>
      <c r="AK2" s="108"/>
      <c r="AL2" s="108"/>
      <c r="AM2" s="108"/>
      <c r="AN2" s="108"/>
      <c r="AO2" s="108"/>
      <c r="AP2" s="108"/>
      <c r="AQ2" s="108"/>
      <c r="AR2" s="108"/>
      <c r="AS2" s="108"/>
      <c r="AT2" s="108"/>
      <c r="AU2" s="108"/>
      <c r="AV2" s="108"/>
      <c r="AW2" s="108"/>
      <c r="AX2" s="78"/>
      <c r="AY2" s="78"/>
    </row>
    <row r="3" spans="1:51" ht="77.25" thickBot="1" x14ac:dyDescent="0.3">
      <c r="A3" s="49" t="s">
        <v>3</v>
      </c>
      <c r="B3" s="50" t="s">
        <v>4</v>
      </c>
      <c r="C3" s="51" t="s">
        <v>5</v>
      </c>
      <c r="D3" s="49" t="s">
        <v>6</v>
      </c>
      <c r="E3" s="52" t="s">
        <v>7</v>
      </c>
      <c r="F3" s="53" t="s">
        <v>8</v>
      </c>
      <c r="G3" s="54" t="s">
        <v>9</v>
      </c>
      <c r="H3" s="54" t="s">
        <v>10</v>
      </c>
      <c r="I3" s="54" t="s">
        <v>11</v>
      </c>
      <c r="J3" s="54" t="s">
        <v>12</v>
      </c>
      <c r="K3" s="54" t="s">
        <v>13</v>
      </c>
      <c r="L3" s="55" t="s">
        <v>14</v>
      </c>
      <c r="M3" s="56" t="s">
        <v>15</v>
      </c>
      <c r="N3" s="55" t="s">
        <v>16</v>
      </c>
      <c r="O3" s="55" t="s">
        <v>17</v>
      </c>
      <c r="P3" s="57" t="s">
        <v>18</v>
      </c>
      <c r="Q3" s="57" t="s">
        <v>19</v>
      </c>
      <c r="R3" s="57" t="s">
        <v>20</v>
      </c>
      <c r="S3" s="57" t="s">
        <v>21</v>
      </c>
      <c r="T3" s="57" t="s">
        <v>22</v>
      </c>
      <c r="U3" s="57" t="s">
        <v>23</v>
      </c>
      <c r="V3" s="57" t="s">
        <v>24</v>
      </c>
      <c r="W3" s="58" t="s">
        <v>25</v>
      </c>
      <c r="X3" s="93" t="s">
        <v>26</v>
      </c>
      <c r="Y3" s="93" t="s">
        <v>27</v>
      </c>
      <c r="Z3" s="93" t="s">
        <v>28</v>
      </c>
      <c r="AA3" s="93" t="s">
        <v>29</v>
      </c>
      <c r="AB3" s="93" t="s">
        <v>30</v>
      </c>
      <c r="AC3" s="93" t="s">
        <v>31</v>
      </c>
      <c r="AD3" s="93" t="s">
        <v>32</v>
      </c>
      <c r="AE3" s="59" t="s">
        <v>33</v>
      </c>
      <c r="AF3" s="60" t="s">
        <v>34</v>
      </c>
      <c r="AG3" s="61" t="s">
        <v>35</v>
      </c>
      <c r="AH3" s="84" t="s">
        <v>36</v>
      </c>
      <c r="AI3" s="91">
        <v>46037</v>
      </c>
      <c r="AJ3" s="91">
        <f>AI3+30</f>
        <v>46067</v>
      </c>
      <c r="AK3" s="91">
        <f t="shared" ref="AK3:AT3" si="0">AJ3+30</f>
        <v>46097</v>
      </c>
      <c r="AL3" s="91">
        <f t="shared" si="0"/>
        <v>46127</v>
      </c>
      <c r="AM3" s="91">
        <f t="shared" si="0"/>
        <v>46157</v>
      </c>
      <c r="AN3" s="91">
        <f t="shared" si="0"/>
        <v>46187</v>
      </c>
      <c r="AO3" s="91">
        <f t="shared" si="0"/>
        <v>46217</v>
      </c>
      <c r="AP3" s="91">
        <f t="shared" si="0"/>
        <v>46247</v>
      </c>
      <c r="AQ3" s="91">
        <f t="shared" si="0"/>
        <v>46277</v>
      </c>
      <c r="AR3" s="91">
        <f t="shared" si="0"/>
        <v>46307</v>
      </c>
      <c r="AS3" s="91">
        <f t="shared" si="0"/>
        <v>46337</v>
      </c>
      <c r="AT3" s="91">
        <f t="shared" si="0"/>
        <v>46367</v>
      </c>
      <c r="AU3" s="84" t="s">
        <v>37</v>
      </c>
      <c r="AV3" s="84" t="s">
        <v>38</v>
      </c>
      <c r="AW3" s="84" t="s">
        <v>39</v>
      </c>
      <c r="AX3" s="85" t="s">
        <v>40</v>
      </c>
      <c r="AY3" s="86" t="s">
        <v>41</v>
      </c>
    </row>
    <row r="4" spans="1:51" ht="77.25" x14ac:dyDescent="0.25">
      <c r="A4" s="62" t="s">
        <v>128</v>
      </c>
      <c r="B4" s="62" t="s">
        <v>129</v>
      </c>
      <c r="C4" s="72" t="s">
        <v>130</v>
      </c>
      <c r="D4" s="63" t="s">
        <v>131</v>
      </c>
      <c r="E4" s="10" t="s">
        <v>46</v>
      </c>
      <c r="F4" s="66" t="s">
        <v>132</v>
      </c>
      <c r="G4" s="12">
        <v>44658</v>
      </c>
      <c r="H4" s="12">
        <v>46387</v>
      </c>
      <c r="I4" s="42">
        <v>3646</v>
      </c>
      <c r="J4" s="30">
        <v>48</v>
      </c>
      <c r="K4" s="13">
        <v>23</v>
      </c>
      <c r="L4" s="15">
        <v>916718</v>
      </c>
      <c r="M4" s="19"/>
      <c r="N4" s="14"/>
      <c r="O4" s="14">
        <f t="shared" ref="O4:O18" si="1">SUM(L4:N4)</f>
        <v>916718</v>
      </c>
      <c r="P4" s="14"/>
      <c r="Q4" s="14"/>
      <c r="R4" s="14"/>
      <c r="S4" s="14"/>
      <c r="T4" s="14"/>
      <c r="U4" s="14"/>
      <c r="V4" s="19">
        <f t="shared" ref="V4:V18" si="2">SUM(P4:U4)</f>
        <v>0</v>
      </c>
      <c r="W4" s="15">
        <f t="shared" ref="W4:W18" si="3">L4-V4+M4+N4</f>
        <v>916718</v>
      </c>
      <c r="X4" s="8"/>
      <c r="Y4" s="8">
        <v>422.52</v>
      </c>
      <c r="Z4" s="8">
        <v>71653.310000000012</v>
      </c>
      <c r="AA4" s="8">
        <v>139935.26999999999</v>
      </c>
      <c r="AB4" s="8">
        <v>244571.99000000002</v>
      </c>
      <c r="AC4" s="8">
        <v>9720</v>
      </c>
      <c r="AD4" s="8"/>
      <c r="AE4" s="14">
        <f t="shared" ref="AE4:AE11" si="4">SUM(X4:AD4)</f>
        <v>466303.09</v>
      </c>
      <c r="AF4" s="15">
        <f t="shared" ref="AF4:AF18" si="5">W4-AE4</f>
        <v>450414.91</v>
      </c>
      <c r="AG4" s="46">
        <f t="shared" ref="AG4:AG18" si="6">AE4/W4</f>
        <v>0.508665794715496</v>
      </c>
      <c r="AH4" s="88" t="s">
        <v>46</v>
      </c>
      <c r="AI4" s="88"/>
      <c r="AJ4" s="88"/>
      <c r="AK4" s="88"/>
      <c r="AL4" s="88">
        <v>49800</v>
      </c>
      <c r="AM4" s="88">
        <v>49800</v>
      </c>
      <c r="AN4" s="88">
        <v>49800</v>
      </c>
      <c r="AO4" s="88">
        <v>49800</v>
      </c>
      <c r="AP4" s="88">
        <v>49800</v>
      </c>
      <c r="AQ4" s="88">
        <v>49800</v>
      </c>
      <c r="AR4" s="88">
        <v>49800</v>
      </c>
      <c r="AS4" s="88">
        <v>49800</v>
      </c>
      <c r="AT4" s="88">
        <v>52014.91</v>
      </c>
      <c r="AU4" s="88"/>
      <c r="AV4" s="87">
        <f>SUM(AH4:AU4)</f>
        <v>450414.91000000003</v>
      </c>
      <c r="AW4" s="87">
        <f>AV4-AF4</f>
        <v>0</v>
      </c>
      <c r="AX4" s="82" t="s">
        <v>197</v>
      </c>
      <c r="AY4" s="95" t="s">
        <v>198</v>
      </c>
    </row>
    <row r="5" spans="1:51" ht="77.25" x14ac:dyDescent="0.25">
      <c r="A5" s="62" t="s">
        <v>128</v>
      </c>
      <c r="B5" s="62" t="s">
        <v>129</v>
      </c>
      <c r="C5" s="72" t="s">
        <v>133</v>
      </c>
      <c r="D5" s="63" t="s">
        <v>131</v>
      </c>
      <c r="E5" s="10" t="s">
        <v>46</v>
      </c>
      <c r="F5" s="66" t="s">
        <v>134</v>
      </c>
      <c r="G5" s="12">
        <v>44791</v>
      </c>
      <c r="H5" s="12">
        <v>46387</v>
      </c>
      <c r="I5" s="42">
        <v>3646</v>
      </c>
      <c r="J5" s="30">
        <v>49</v>
      </c>
      <c r="K5" s="13">
        <v>23</v>
      </c>
      <c r="L5" s="15">
        <v>5072061</v>
      </c>
      <c r="M5" s="19"/>
      <c r="N5" s="14"/>
      <c r="O5" s="14">
        <f t="shared" si="1"/>
        <v>5072061</v>
      </c>
      <c r="P5" s="14"/>
      <c r="Q5" s="14"/>
      <c r="R5" s="14"/>
      <c r="S5" s="14"/>
      <c r="T5" s="14"/>
      <c r="U5" s="14"/>
      <c r="V5" s="19">
        <f t="shared" si="2"/>
        <v>0</v>
      </c>
      <c r="W5" s="15">
        <f t="shared" si="3"/>
        <v>5072061</v>
      </c>
      <c r="X5" s="8"/>
      <c r="Y5" s="8"/>
      <c r="Z5" s="8">
        <v>155077.79999999999</v>
      </c>
      <c r="AA5" s="8">
        <v>1178187.53</v>
      </c>
      <c r="AB5" s="8">
        <v>1203299.4099999999</v>
      </c>
      <c r="AC5" s="8">
        <v>863392.01</v>
      </c>
      <c r="AD5" s="8"/>
      <c r="AE5" s="14">
        <f t="shared" si="4"/>
        <v>3399956.75</v>
      </c>
      <c r="AF5" s="15">
        <f t="shared" si="5"/>
        <v>1672104.25</v>
      </c>
      <c r="AG5" s="46">
        <f t="shared" si="6"/>
        <v>0.6703304140072448</v>
      </c>
      <c r="AH5" s="88" t="s">
        <v>46</v>
      </c>
      <c r="AI5" s="88"/>
      <c r="AJ5" s="88"/>
      <c r="AK5" s="88"/>
      <c r="AL5" s="88">
        <v>180100</v>
      </c>
      <c r="AM5" s="88">
        <v>180100</v>
      </c>
      <c r="AN5" s="88">
        <v>180100</v>
      </c>
      <c r="AO5" s="88">
        <v>180100</v>
      </c>
      <c r="AP5" s="88">
        <v>180100</v>
      </c>
      <c r="AQ5" s="88">
        <v>180100</v>
      </c>
      <c r="AR5" s="88">
        <v>180100</v>
      </c>
      <c r="AS5" s="88">
        <v>180100</v>
      </c>
      <c r="AT5" s="88">
        <v>231304.25</v>
      </c>
      <c r="AU5" s="88"/>
      <c r="AV5" s="87">
        <f t="shared" ref="AV5:AV18" si="7">SUM(AH5:AU5)</f>
        <v>1672104.25</v>
      </c>
      <c r="AW5" s="87">
        <f t="shared" ref="AW5:AW18" si="8">AV5-AF5</f>
        <v>0</v>
      </c>
      <c r="AX5" s="82" t="s">
        <v>189</v>
      </c>
      <c r="AY5" s="95" t="s">
        <v>198</v>
      </c>
    </row>
    <row r="6" spans="1:51" ht="243" x14ac:dyDescent="0.25">
      <c r="A6" s="62" t="s">
        <v>128</v>
      </c>
      <c r="B6" s="62" t="s">
        <v>129</v>
      </c>
      <c r="C6" s="72" t="s">
        <v>135</v>
      </c>
      <c r="D6" s="63" t="s">
        <v>136</v>
      </c>
      <c r="E6" s="10" t="s">
        <v>46</v>
      </c>
      <c r="F6" s="66" t="s">
        <v>137</v>
      </c>
      <c r="G6" s="12">
        <v>44791</v>
      </c>
      <c r="H6" s="12">
        <v>46203</v>
      </c>
      <c r="I6" s="42">
        <v>3145</v>
      </c>
      <c r="J6" s="30">
        <v>44</v>
      </c>
      <c r="K6" s="13">
        <v>31</v>
      </c>
      <c r="L6" s="15">
        <v>4198804</v>
      </c>
      <c r="M6" s="19"/>
      <c r="N6" s="14"/>
      <c r="O6" s="14">
        <f t="shared" si="1"/>
        <v>4198804</v>
      </c>
      <c r="P6" s="14"/>
      <c r="Q6" s="14"/>
      <c r="R6" s="14"/>
      <c r="S6" s="14"/>
      <c r="T6" s="14"/>
      <c r="U6" s="14"/>
      <c r="V6" s="19">
        <f t="shared" si="2"/>
        <v>0</v>
      </c>
      <c r="W6" s="15">
        <f t="shared" si="3"/>
        <v>4198804</v>
      </c>
      <c r="X6" s="8"/>
      <c r="Y6" s="8"/>
      <c r="Z6" s="8"/>
      <c r="AA6" s="8">
        <v>769154.54</v>
      </c>
      <c r="AB6" s="8">
        <v>106694</v>
      </c>
      <c r="AC6" s="8">
        <v>120373.5</v>
      </c>
      <c r="AD6" s="8"/>
      <c r="AE6" s="14">
        <f t="shared" si="4"/>
        <v>996222.04</v>
      </c>
      <c r="AF6" s="15">
        <f t="shared" si="5"/>
        <v>3202581.96</v>
      </c>
      <c r="AG6" s="46">
        <f t="shared" si="6"/>
        <v>0.23726328735516114</v>
      </c>
      <c r="AH6" s="88" t="s">
        <v>46</v>
      </c>
      <c r="AI6" s="88">
        <v>600000</v>
      </c>
      <c r="AJ6" s="88">
        <v>600000</v>
      </c>
      <c r="AK6" s="88">
        <v>600000</v>
      </c>
      <c r="AL6" s="88">
        <v>600000</v>
      </c>
      <c r="AM6" s="88">
        <v>600000</v>
      </c>
      <c r="AN6" s="88">
        <v>202581.96</v>
      </c>
      <c r="AO6" s="88"/>
      <c r="AP6" s="88"/>
      <c r="AQ6" s="88"/>
      <c r="AR6" s="88"/>
      <c r="AS6" s="88"/>
      <c r="AT6" s="88"/>
      <c r="AU6" s="88"/>
      <c r="AV6" s="87">
        <f>SUM(AH6:AU6)</f>
        <v>3202581.96</v>
      </c>
      <c r="AW6" s="87">
        <f>AV6-AF6</f>
        <v>0</v>
      </c>
      <c r="AX6" s="82" t="s">
        <v>189</v>
      </c>
      <c r="AY6" s="95" t="s">
        <v>199</v>
      </c>
    </row>
    <row r="7" spans="1:51" ht="128.25" x14ac:dyDescent="0.25">
      <c r="A7" s="62" t="s">
        <v>128</v>
      </c>
      <c r="B7" s="62" t="s">
        <v>129</v>
      </c>
      <c r="C7" s="71" t="s">
        <v>138</v>
      </c>
      <c r="D7" s="63" t="s">
        <v>136</v>
      </c>
      <c r="E7" s="10" t="s">
        <v>46</v>
      </c>
      <c r="F7" s="66" t="s">
        <v>139</v>
      </c>
      <c r="G7" s="12">
        <v>44957</v>
      </c>
      <c r="H7" s="12">
        <v>46203</v>
      </c>
      <c r="I7" s="42">
        <v>3145</v>
      </c>
      <c r="J7" s="30">
        <v>52</v>
      </c>
      <c r="K7" s="13">
        <v>29</v>
      </c>
      <c r="L7" s="15">
        <v>5000000</v>
      </c>
      <c r="M7" s="14"/>
      <c r="N7" s="14"/>
      <c r="O7" s="14">
        <f t="shared" si="1"/>
        <v>5000000</v>
      </c>
      <c r="P7" s="14"/>
      <c r="Q7" s="14"/>
      <c r="R7" s="14"/>
      <c r="S7" s="14"/>
      <c r="T7" s="14"/>
      <c r="U7" s="14"/>
      <c r="V7" s="14">
        <f t="shared" si="2"/>
        <v>0</v>
      </c>
      <c r="W7" s="15">
        <f t="shared" si="3"/>
        <v>5000000</v>
      </c>
      <c r="X7" s="8"/>
      <c r="Y7" s="8"/>
      <c r="Z7" s="8">
        <v>68238.709999999992</v>
      </c>
      <c r="AA7" s="8">
        <v>1386373.2</v>
      </c>
      <c r="AB7" s="8">
        <v>2608138.27</v>
      </c>
      <c r="AC7" s="8">
        <v>48000</v>
      </c>
      <c r="AD7" s="8">
        <v>0</v>
      </c>
      <c r="AE7" s="14">
        <f t="shared" si="4"/>
        <v>4110750.1799999997</v>
      </c>
      <c r="AF7" s="15">
        <f t="shared" si="5"/>
        <v>889249.8200000003</v>
      </c>
      <c r="AG7" s="48">
        <f t="shared" si="6"/>
        <v>0.82215003599999992</v>
      </c>
      <c r="AH7" s="88" t="s">
        <v>46</v>
      </c>
      <c r="AI7" s="88">
        <v>200000</v>
      </c>
      <c r="AJ7" s="88">
        <v>200000</v>
      </c>
      <c r="AK7" s="88">
        <v>200000</v>
      </c>
      <c r="AL7" s="88">
        <v>200000</v>
      </c>
      <c r="AM7" s="88">
        <v>89249.82</v>
      </c>
      <c r="AN7" s="88"/>
      <c r="AO7" s="88"/>
      <c r="AP7" s="88"/>
      <c r="AQ7" s="88"/>
      <c r="AR7" s="88"/>
      <c r="AS7" s="88"/>
      <c r="AT7" s="88"/>
      <c r="AU7" s="88"/>
      <c r="AV7" s="87">
        <f t="shared" si="7"/>
        <v>889249.82000000007</v>
      </c>
      <c r="AW7" s="87">
        <f t="shared" si="8"/>
        <v>0</v>
      </c>
      <c r="AX7" s="82" t="s">
        <v>189</v>
      </c>
      <c r="AY7" s="95" t="s">
        <v>200</v>
      </c>
    </row>
    <row r="8" spans="1:51" ht="102.75" x14ac:dyDescent="0.25">
      <c r="A8" s="62" t="s">
        <v>128</v>
      </c>
      <c r="B8" s="62" t="s">
        <v>129</v>
      </c>
      <c r="C8" s="73" t="s">
        <v>140</v>
      </c>
      <c r="D8" s="63" t="s">
        <v>136</v>
      </c>
      <c r="E8" s="10" t="s">
        <v>46</v>
      </c>
      <c r="F8" s="66" t="s">
        <v>141</v>
      </c>
      <c r="G8" s="12">
        <v>44791</v>
      </c>
      <c r="H8" s="12">
        <v>46387</v>
      </c>
      <c r="I8" s="42" t="s">
        <v>142</v>
      </c>
      <c r="J8" s="30" t="s">
        <v>143</v>
      </c>
      <c r="K8" s="13">
        <v>31</v>
      </c>
      <c r="L8" s="15">
        <f>1430349+31036</f>
        <v>1461385</v>
      </c>
      <c r="M8" s="19"/>
      <c r="N8" s="14"/>
      <c r="O8" s="14">
        <f t="shared" si="1"/>
        <v>1461385</v>
      </c>
      <c r="P8" s="14"/>
      <c r="Q8" s="14"/>
      <c r="R8" s="14"/>
      <c r="S8" s="14"/>
      <c r="T8" s="14"/>
      <c r="U8" s="14"/>
      <c r="V8" s="19">
        <f t="shared" si="2"/>
        <v>0</v>
      </c>
      <c r="W8" s="15">
        <f t="shared" si="3"/>
        <v>1461385</v>
      </c>
      <c r="X8" s="8"/>
      <c r="Y8" s="8"/>
      <c r="Z8" s="8"/>
      <c r="AA8" s="8">
        <v>457171.37</v>
      </c>
      <c r="AB8" s="8">
        <v>834673.11</v>
      </c>
      <c r="AC8" s="8">
        <v>144000</v>
      </c>
      <c r="AD8" s="8"/>
      <c r="AE8" s="14">
        <f t="shared" si="4"/>
        <v>1435844.48</v>
      </c>
      <c r="AF8" s="15">
        <f t="shared" si="5"/>
        <v>25540.520000000019</v>
      </c>
      <c r="AG8" s="46">
        <f t="shared" si="6"/>
        <v>0.98252307229101155</v>
      </c>
      <c r="AH8" s="88" t="s">
        <v>46</v>
      </c>
      <c r="AI8" s="88">
        <v>4364.83</v>
      </c>
      <c r="AJ8" s="88">
        <v>4364.83</v>
      </c>
      <c r="AK8" s="88">
        <v>4364.83</v>
      </c>
      <c r="AL8" s="88">
        <v>4364.83</v>
      </c>
      <c r="AM8" s="88">
        <v>4364.83</v>
      </c>
      <c r="AN8" s="88">
        <v>3716.37</v>
      </c>
      <c r="AO8" s="88"/>
      <c r="AP8" s="88"/>
      <c r="AQ8" s="88"/>
      <c r="AR8" s="88"/>
      <c r="AS8" s="88"/>
      <c r="AT8" s="88"/>
      <c r="AU8" s="88"/>
      <c r="AV8" s="87">
        <f t="shared" si="7"/>
        <v>25540.52</v>
      </c>
      <c r="AW8" s="87">
        <f t="shared" si="8"/>
        <v>0</v>
      </c>
      <c r="AX8" s="82" t="s">
        <v>189</v>
      </c>
      <c r="AY8" s="95" t="s">
        <v>201</v>
      </c>
    </row>
    <row r="9" spans="1:51" ht="64.5" x14ac:dyDescent="0.25">
      <c r="A9" s="62" t="s">
        <v>128</v>
      </c>
      <c r="B9" s="62" t="s">
        <v>129</v>
      </c>
      <c r="C9" s="72" t="s">
        <v>144</v>
      </c>
      <c r="D9" s="63" t="s">
        <v>136</v>
      </c>
      <c r="E9" s="10" t="s">
        <v>46</v>
      </c>
      <c r="F9" s="66" t="s">
        <v>145</v>
      </c>
      <c r="G9" s="12">
        <v>44791</v>
      </c>
      <c r="H9" s="12">
        <v>46387</v>
      </c>
      <c r="I9" s="42" t="s">
        <v>146</v>
      </c>
      <c r="J9" s="30">
        <v>42</v>
      </c>
      <c r="K9" s="13">
        <v>31</v>
      </c>
      <c r="L9" s="15">
        <v>977346</v>
      </c>
      <c r="M9" s="14"/>
      <c r="N9" s="14">
        <v>980629</v>
      </c>
      <c r="O9" s="14">
        <f t="shared" si="1"/>
        <v>1957975</v>
      </c>
      <c r="P9" s="14"/>
      <c r="Q9" s="14"/>
      <c r="R9" s="14">
        <v>49755</v>
      </c>
      <c r="S9" s="14"/>
      <c r="T9" s="14"/>
      <c r="U9" s="14"/>
      <c r="V9" s="14">
        <f t="shared" si="2"/>
        <v>49755</v>
      </c>
      <c r="W9" s="15">
        <f t="shared" si="3"/>
        <v>1908220</v>
      </c>
      <c r="X9" s="8"/>
      <c r="Y9" s="8"/>
      <c r="Z9" s="8">
        <v>113037.70999999999</v>
      </c>
      <c r="AA9" s="8">
        <v>618345.64</v>
      </c>
      <c r="AB9" s="8">
        <v>719912.25</v>
      </c>
      <c r="AC9" s="8">
        <v>249033.75</v>
      </c>
      <c r="AD9" s="8"/>
      <c r="AE9" s="14">
        <f t="shared" si="4"/>
        <v>1700329.35</v>
      </c>
      <c r="AF9" s="15">
        <f t="shared" si="5"/>
        <v>207890.64999999991</v>
      </c>
      <c r="AG9" s="46">
        <f t="shared" si="6"/>
        <v>0.89105519803796218</v>
      </c>
      <c r="AH9" s="88" t="s">
        <v>46</v>
      </c>
      <c r="AI9" s="88">
        <v>50000</v>
      </c>
      <c r="AJ9" s="88">
        <v>50000</v>
      </c>
      <c r="AK9" s="88">
        <v>50000</v>
      </c>
      <c r="AL9" s="88">
        <v>50000</v>
      </c>
      <c r="AM9" s="88">
        <v>7890.65</v>
      </c>
      <c r="AN9" s="88"/>
      <c r="AO9" s="88"/>
      <c r="AP9" s="88"/>
      <c r="AQ9" s="88"/>
      <c r="AR9" s="88"/>
      <c r="AS9" s="88"/>
      <c r="AT9" s="88"/>
      <c r="AU9" s="88"/>
      <c r="AV9" s="87">
        <f t="shared" si="7"/>
        <v>207890.65</v>
      </c>
      <c r="AW9" s="87">
        <f t="shared" si="8"/>
        <v>0</v>
      </c>
      <c r="AX9" s="82" t="s">
        <v>189</v>
      </c>
      <c r="AY9" s="95" t="s">
        <v>202</v>
      </c>
    </row>
    <row r="10" spans="1:51" ht="141" x14ac:dyDescent="0.25">
      <c r="A10" s="62" t="s">
        <v>128</v>
      </c>
      <c r="B10" s="62" t="s">
        <v>129</v>
      </c>
      <c r="C10" s="72" t="s">
        <v>147</v>
      </c>
      <c r="D10" s="63" t="s">
        <v>136</v>
      </c>
      <c r="E10" s="10" t="s">
        <v>46</v>
      </c>
      <c r="F10" s="66" t="s">
        <v>148</v>
      </c>
      <c r="G10" s="12">
        <v>44854</v>
      </c>
      <c r="H10" s="12">
        <v>46387</v>
      </c>
      <c r="I10" s="42" t="s">
        <v>146</v>
      </c>
      <c r="J10" s="30" t="s">
        <v>149</v>
      </c>
      <c r="K10" s="13">
        <v>31</v>
      </c>
      <c r="L10" s="15">
        <f>2431165</f>
        <v>2431165</v>
      </c>
      <c r="M10" s="19">
        <v>91031</v>
      </c>
      <c r="N10" s="14">
        <f>2474401</f>
        <v>2474401</v>
      </c>
      <c r="O10" s="14">
        <f t="shared" si="1"/>
        <v>4996597</v>
      </c>
      <c r="P10" s="27"/>
      <c r="Q10" s="27"/>
      <c r="R10" s="27">
        <f>61165+58897</f>
        <v>120062</v>
      </c>
      <c r="S10" s="19">
        <v>1250000</v>
      </c>
      <c r="T10" s="14"/>
      <c r="U10" s="14"/>
      <c r="V10" s="19">
        <f t="shared" si="2"/>
        <v>1370062</v>
      </c>
      <c r="W10" s="15">
        <f t="shared" si="3"/>
        <v>3626535</v>
      </c>
      <c r="X10" s="8"/>
      <c r="Y10" s="8"/>
      <c r="Z10" s="8">
        <v>0</v>
      </c>
      <c r="AA10" s="8">
        <v>825501.65</v>
      </c>
      <c r="AB10" s="8">
        <v>1483975.81</v>
      </c>
      <c r="AC10" s="8">
        <v>252000</v>
      </c>
      <c r="AD10" s="8"/>
      <c r="AE10" s="14">
        <f t="shared" si="4"/>
        <v>2561477.46</v>
      </c>
      <c r="AF10" s="15">
        <f t="shared" si="5"/>
        <v>1065057.54</v>
      </c>
      <c r="AG10" s="46">
        <f t="shared" si="6"/>
        <v>0.70631538369269842</v>
      </c>
      <c r="AH10" s="88" t="s">
        <v>46</v>
      </c>
      <c r="AI10" s="88">
        <v>95000</v>
      </c>
      <c r="AJ10" s="88">
        <v>95000</v>
      </c>
      <c r="AK10" s="88">
        <v>95000</v>
      </c>
      <c r="AL10" s="88">
        <v>95000</v>
      </c>
      <c r="AM10" s="88">
        <v>95000</v>
      </c>
      <c r="AN10" s="88">
        <v>95000</v>
      </c>
      <c r="AO10" s="88">
        <v>95000</v>
      </c>
      <c r="AP10" s="88">
        <v>95000</v>
      </c>
      <c r="AQ10" s="88">
        <v>95000</v>
      </c>
      <c r="AR10" s="88">
        <v>95000</v>
      </c>
      <c r="AS10" s="88">
        <v>95000</v>
      </c>
      <c r="AT10" s="88">
        <v>20057.54</v>
      </c>
      <c r="AU10" s="88"/>
      <c r="AV10" s="87">
        <f t="shared" si="7"/>
        <v>1065057.54</v>
      </c>
      <c r="AW10" s="87">
        <f t="shared" si="8"/>
        <v>0</v>
      </c>
      <c r="AX10" s="82" t="s">
        <v>189</v>
      </c>
      <c r="AY10" s="95" t="s">
        <v>203</v>
      </c>
    </row>
    <row r="11" spans="1:51" ht="204.75" x14ac:dyDescent="0.25">
      <c r="A11" s="62" t="s">
        <v>128</v>
      </c>
      <c r="B11" s="62" t="s">
        <v>129</v>
      </c>
      <c r="C11" s="72" t="s">
        <v>150</v>
      </c>
      <c r="D11" s="63" t="s">
        <v>136</v>
      </c>
      <c r="E11" s="10" t="s">
        <v>46</v>
      </c>
      <c r="F11" s="67" t="s">
        <v>151</v>
      </c>
      <c r="G11" s="12">
        <v>44910</v>
      </c>
      <c r="H11" s="12">
        <v>46203</v>
      </c>
      <c r="I11" s="42">
        <v>3145</v>
      </c>
      <c r="J11" s="30">
        <v>68</v>
      </c>
      <c r="K11" s="13">
        <v>23</v>
      </c>
      <c r="L11" s="15">
        <v>7022777</v>
      </c>
      <c r="M11" s="19"/>
      <c r="N11" s="14"/>
      <c r="O11" s="14">
        <f t="shared" si="1"/>
        <v>7022777</v>
      </c>
      <c r="P11" s="27"/>
      <c r="Q11" s="27">
        <v>401607</v>
      </c>
      <c r="R11" s="27"/>
      <c r="S11" s="19"/>
      <c r="T11" s="14"/>
      <c r="U11" s="14"/>
      <c r="V11" s="19">
        <f t="shared" si="2"/>
        <v>401607</v>
      </c>
      <c r="W11" s="15">
        <f t="shared" si="3"/>
        <v>6621170</v>
      </c>
      <c r="X11" s="8"/>
      <c r="Y11" s="8"/>
      <c r="Z11" s="8">
        <v>0</v>
      </c>
      <c r="AA11" s="8">
        <v>196177.75</v>
      </c>
      <c r="AB11" s="8">
        <v>644440</v>
      </c>
      <c r="AC11" s="8">
        <v>21383.370000000003</v>
      </c>
      <c r="AD11" s="8"/>
      <c r="AE11" s="14">
        <f t="shared" si="4"/>
        <v>862001.12</v>
      </c>
      <c r="AF11" s="15">
        <f t="shared" si="5"/>
        <v>5759168.8799999999</v>
      </c>
      <c r="AG11" s="46">
        <f t="shared" si="6"/>
        <v>0.13018864037624769</v>
      </c>
      <c r="AH11" s="88">
        <v>1840867.34</v>
      </c>
      <c r="AI11" s="88">
        <v>260000</v>
      </c>
      <c r="AJ11" s="88">
        <v>260000</v>
      </c>
      <c r="AK11" s="88">
        <v>260000</v>
      </c>
      <c r="AL11" s="88">
        <v>425000</v>
      </c>
      <c r="AM11" s="88">
        <v>450000</v>
      </c>
      <c r="AN11" s="88">
        <v>450000</v>
      </c>
      <c r="AO11" s="88">
        <v>450000</v>
      </c>
      <c r="AP11" s="88">
        <v>450000</v>
      </c>
      <c r="AQ11" s="88">
        <v>450000</v>
      </c>
      <c r="AR11" s="88">
        <v>463301.54</v>
      </c>
      <c r="AS11" s="88"/>
      <c r="AT11" s="88"/>
      <c r="AU11" s="88"/>
      <c r="AV11" s="87">
        <f t="shared" si="7"/>
        <v>5759168.8799999999</v>
      </c>
      <c r="AW11" s="87">
        <f t="shared" si="8"/>
        <v>0</v>
      </c>
      <c r="AX11" s="82" t="s">
        <v>189</v>
      </c>
      <c r="AY11" s="95" t="s">
        <v>204</v>
      </c>
    </row>
    <row r="12" spans="1:51" ht="90" x14ac:dyDescent="0.25">
      <c r="A12" s="62" t="s">
        <v>128</v>
      </c>
      <c r="B12" s="62" t="s">
        <v>129</v>
      </c>
      <c r="C12" s="71" t="s">
        <v>152</v>
      </c>
      <c r="D12" s="63" t="s">
        <v>136</v>
      </c>
      <c r="E12" s="10" t="s">
        <v>46</v>
      </c>
      <c r="F12" s="66" t="s">
        <v>153</v>
      </c>
      <c r="G12" s="12">
        <v>44854</v>
      </c>
      <c r="H12" s="12">
        <v>46295</v>
      </c>
      <c r="I12" s="42">
        <v>3145</v>
      </c>
      <c r="J12" s="30">
        <v>66</v>
      </c>
      <c r="K12" s="13">
        <v>23</v>
      </c>
      <c r="L12" s="15">
        <v>6000000</v>
      </c>
      <c r="M12" s="19"/>
      <c r="N12" s="14"/>
      <c r="O12" s="14">
        <f t="shared" si="1"/>
        <v>6000000</v>
      </c>
      <c r="P12" s="14">
        <v>0</v>
      </c>
      <c r="Q12" s="14"/>
      <c r="R12" s="14"/>
      <c r="S12" s="14"/>
      <c r="T12" s="14"/>
      <c r="U12" s="14"/>
      <c r="V12" s="19">
        <f t="shared" si="2"/>
        <v>0</v>
      </c>
      <c r="W12" s="15">
        <f t="shared" si="3"/>
        <v>6000000</v>
      </c>
      <c r="X12" s="8"/>
      <c r="Y12" s="8"/>
      <c r="Z12" s="8">
        <v>1189702.67</v>
      </c>
      <c r="AA12" s="8">
        <v>2364177.0499999998</v>
      </c>
      <c r="AB12" s="8">
        <v>390185.8</v>
      </c>
      <c r="AC12" s="8">
        <v>1564020.8</v>
      </c>
      <c r="AD12" s="8"/>
      <c r="AE12" s="14">
        <v>5508086.3199999994</v>
      </c>
      <c r="AF12" s="15">
        <f t="shared" si="5"/>
        <v>491913.68000000063</v>
      </c>
      <c r="AG12" s="46">
        <f t="shared" si="6"/>
        <v>0.91801438666666657</v>
      </c>
      <c r="AH12" s="88" t="s">
        <v>46</v>
      </c>
      <c r="AI12" s="88"/>
      <c r="AJ12" s="88"/>
      <c r="AK12" s="88">
        <v>196166.15</v>
      </c>
      <c r="AL12" s="88"/>
      <c r="AM12" s="88"/>
      <c r="AN12" s="88">
        <v>104098.97</v>
      </c>
      <c r="AO12" s="88"/>
      <c r="AP12" s="88"/>
      <c r="AQ12" s="88">
        <v>191648.57</v>
      </c>
      <c r="AR12" s="88"/>
      <c r="AS12" s="88"/>
      <c r="AT12" s="88"/>
      <c r="AU12" s="88"/>
      <c r="AV12" s="87">
        <f t="shared" si="7"/>
        <v>491913.69</v>
      </c>
      <c r="AW12" s="87">
        <f t="shared" si="8"/>
        <v>9.9999993690289557E-3</v>
      </c>
      <c r="AX12" s="82" t="s">
        <v>189</v>
      </c>
      <c r="AY12" s="95" t="s">
        <v>205</v>
      </c>
    </row>
    <row r="13" spans="1:51" ht="115.5" x14ac:dyDescent="0.25">
      <c r="A13" s="62" t="s">
        <v>128</v>
      </c>
      <c r="B13" s="62" t="s">
        <v>129</v>
      </c>
      <c r="C13" s="71" t="s">
        <v>154</v>
      </c>
      <c r="D13" s="63" t="s">
        <v>136</v>
      </c>
      <c r="E13" s="10" t="s">
        <v>46</v>
      </c>
      <c r="F13" s="66" t="s">
        <v>155</v>
      </c>
      <c r="G13" s="12">
        <v>45474</v>
      </c>
      <c r="H13" s="12">
        <v>46446</v>
      </c>
      <c r="I13" s="42">
        <v>3145</v>
      </c>
      <c r="J13" s="42" t="s">
        <v>156</v>
      </c>
      <c r="K13" s="13">
        <v>31</v>
      </c>
      <c r="L13" s="28">
        <v>1014987</v>
      </c>
      <c r="M13" s="19"/>
      <c r="N13" s="22">
        <v>232771</v>
      </c>
      <c r="O13" s="22">
        <f t="shared" si="1"/>
        <v>1247758</v>
      </c>
      <c r="P13" s="9"/>
      <c r="Q13" s="22"/>
      <c r="R13" s="22"/>
      <c r="S13" s="22"/>
      <c r="T13" s="29"/>
      <c r="U13" s="22"/>
      <c r="V13" s="19">
        <f t="shared" si="2"/>
        <v>0</v>
      </c>
      <c r="W13" s="25">
        <f t="shared" si="3"/>
        <v>1247758</v>
      </c>
      <c r="X13" s="8"/>
      <c r="Y13" s="8"/>
      <c r="Z13" s="8"/>
      <c r="AA13" s="8"/>
      <c r="AB13" s="8">
        <v>599640.63</v>
      </c>
      <c r="AC13" s="8">
        <v>5813.28</v>
      </c>
      <c r="AD13" s="8"/>
      <c r="AE13" s="22">
        <f t="shared" ref="AE13:AE18" si="9">SUM(X13:AD13)</f>
        <v>605453.91</v>
      </c>
      <c r="AF13" s="25">
        <f t="shared" si="5"/>
        <v>642304.09</v>
      </c>
      <c r="AG13" s="46">
        <f t="shared" si="6"/>
        <v>0.48523344270283181</v>
      </c>
      <c r="AH13" s="88" t="s">
        <v>46</v>
      </c>
      <c r="AI13" s="88">
        <v>5000</v>
      </c>
      <c r="AJ13" s="88">
        <v>594186.72</v>
      </c>
      <c r="AK13" s="88">
        <v>5000</v>
      </c>
      <c r="AL13" s="88">
        <v>5000</v>
      </c>
      <c r="AM13" s="88">
        <v>5000</v>
      </c>
      <c r="AN13" s="88">
        <v>5000</v>
      </c>
      <c r="AO13" s="88">
        <v>5000</v>
      </c>
      <c r="AP13" s="88">
        <v>5000</v>
      </c>
      <c r="AQ13" s="88">
        <v>5000</v>
      </c>
      <c r="AR13" s="88">
        <v>4000</v>
      </c>
      <c r="AS13" s="88">
        <v>4117.37</v>
      </c>
      <c r="AT13" s="88"/>
      <c r="AU13" s="88"/>
      <c r="AV13" s="87">
        <f t="shared" si="7"/>
        <v>642304.09</v>
      </c>
      <c r="AW13" s="87">
        <f>AV13-AF13</f>
        <v>0</v>
      </c>
      <c r="AX13" s="95" t="s">
        <v>189</v>
      </c>
      <c r="AY13" s="95" t="s">
        <v>206</v>
      </c>
    </row>
    <row r="14" spans="1:51" ht="39" x14ac:dyDescent="0.25">
      <c r="A14" s="62" t="s">
        <v>128</v>
      </c>
      <c r="B14" s="62" t="s">
        <v>129</v>
      </c>
      <c r="C14" s="71" t="s">
        <v>157</v>
      </c>
      <c r="D14" s="63" t="s">
        <v>136</v>
      </c>
      <c r="E14" s="10" t="s">
        <v>46</v>
      </c>
      <c r="F14" s="66" t="s">
        <v>158</v>
      </c>
      <c r="G14" s="12">
        <v>45474</v>
      </c>
      <c r="H14" s="12">
        <v>46446</v>
      </c>
      <c r="I14" s="42">
        <v>3146</v>
      </c>
      <c r="J14" s="42" t="s">
        <v>156</v>
      </c>
      <c r="K14" s="13">
        <v>31</v>
      </c>
      <c r="L14" s="28">
        <v>1499500</v>
      </c>
      <c r="M14" s="19"/>
      <c r="N14" s="22"/>
      <c r="O14" s="22">
        <f t="shared" si="1"/>
        <v>1499500</v>
      </c>
      <c r="P14" s="9"/>
      <c r="Q14" s="22"/>
      <c r="R14" s="22"/>
      <c r="S14" s="22">
        <v>232771</v>
      </c>
      <c r="T14" s="9"/>
      <c r="U14" s="22"/>
      <c r="V14" s="19">
        <f t="shared" si="2"/>
        <v>232771</v>
      </c>
      <c r="W14" s="25">
        <f t="shared" si="3"/>
        <v>1266729</v>
      </c>
      <c r="X14" s="8"/>
      <c r="Y14" s="8"/>
      <c r="Z14" s="8"/>
      <c r="AA14" s="8"/>
      <c r="AB14" s="8">
        <v>1041847.1699999999</v>
      </c>
      <c r="AC14" s="8">
        <v>141408.89000000001</v>
      </c>
      <c r="AD14" s="8"/>
      <c r="AE14" s="22">
        <f t="shared" si="9"/>
        <v>1183256.06</v>
      </c>
      <c r="AF14" s="25">
        <f t="shared" si="5"/>
        <v>83472.939999999944</v>
      </c>
      <c r="AG14" s="46">
        <f t="shared" si="6"/>
        <v>0.93410355332513906</v>
      </c>
      <c r="AH14" s="88" t="s">
        <v>46</v>
      </c>
      <c r="AI14" s="88">
        <v>12681.85</v>
      </c>
      <c r="AJ14" s="88">
        <v>12681.85</v>
      </c>
      <c r="AK14" s="88">
        <v>12681.85</v>
      </c>
      <c r="AL14" s="88">
        <v>12681.85</v>
      </c>
      <c r="AM14" s="88">
        <v>12681.85</v>
      </c>
      <c r="AN14" s="88">
        <v>12681.85</v>
      </c>
      <c r="AO14" s="88">
        <v>7381.84</v>
      </c>
      <c r="AP14" s="88"/>
      <c r="AQ14" s="88"/>
      <c r="AR14" s="88"/>
      <c r="AS14" s="88"/>
      <c r="AT14" s="88"/>
      <c r="AU14" s="88"/>
      <c r="AV14" s="87">
        <f t="shared" si="7"/>
        <v>83472.94</v>
      </c>
      <c r="AW14" s="87">
        <f t="shared" si="8"/>
        <v>0</v>
      </c>
      <c r="AX14" s="82" t="s">
        <v>189</v>
      </c>
      <c r="AY14" s="95" t="s">
        <v>207</v>
      </c>
    </row>
    <row r="15" spans="1:51" ht="217.5" x14ac:dyDescent="0.25">
      <c r="A15" s="62" t="s">
        <v>128</v>
      </c>
      <c r="B15" s="62" t="s">
        <v>129</v>
      </c>
      <c r="C15" s="72" t="s">
        <v>159</v>
      </c>
      <c r="D15" s="63" t="s">
        <v>136</v>
      </c>
      <c r="E15" s="10" t="s">
        <v>46</v>
      </c>
      <c r="F15" s="66" t="s">
        <v>160</v>
      </c>
      <c r="G15" s="12">
        <v>44855</v>
      </c>
      <c r="H15" s="12">
        <v>46387</v>
      </c>
      <c r="I15" s="42">
        <v>3143</v>
      </c>
      <c r="J15" s="30">
        <v>41</v>
      </c>
      <c r="K15" s="13">
        <v>24</v>
      </c>
      <c r="L15" s="15">
        <v>18370000</v>
      </c>
      <c r="M15" s="14"/>
      <c r="N15" s="14"/>
      <c r="O15" s="14">
        <f t="shared" si="1"/>
        <v>18370000</v>
      </c>
      <c r="P15" s="14"/>
      <c r="Q15" s="14"/>
      <c r="R15" s="14"/>
      <c r="S15" s="14"/>
      <c r="T15" s="14"/>
      <c r="U15" s="14"/>
      <c r="V15" s="14">
        <f t="shared" si="2"/>
        <v>0</v>
      </c>
      <c r="W15" s="15">
        <f t="shared" si="3"/>
        <v>18370000</v>
      </c>
      <c r="X15" s="8"/>
      <c r="Y15" s="8"/>
      <c r="Z15" s="8">
        <v>8554.9500000000007</v>
      </c>
      <c r="AA15" s="8">
        <v>134739.35</v>
      </c>
      <c r="AB15" s="8">
        <v>1523983.6199999999</v>
      </c>
      <c r="AC15" s="8">
        <v>85110</v>
      </c>
      <c r="AD15" s="8"/>
      <c r="AE15" s="14">
        <f t="shared" si="9"/>
        <v>1752387.92</v>
      </c>
      <c r="AF15" s="15">
        <f t="shared" si="5"/>
        <v>16617612.08</v>
      </c>
      <c r="AG15" s="46">
        <f t="shared" si="6"/>
        <v>9.5394007621121393E-2</v>
      </c>
      <c r="AH15" s="88" t="s">
        <v>46</v>
      </c>
      <c r="AI15" s="88"/>
      <c r="AJ15" s="88">
        <v>3000000</v>
      </c>
      <c r="AK15" s="88">
        <v>1400000</v>
      </c>
      <c r="AL15" s="88">
        <v>1400000</v>
      </c>
      <c r="AM15" s="88">
        <v>1400000</v>
      </c>
      <c r="AN15" s="88">
        <v>1400000</v>
      </c>
      <c r="AO15" s="88">
        <v>1400000</v>
      </c>
      <c r="AP15" s="88">
        <v>1400000</v>
      </c>
      <c r="AQ15" s="88">
        <v>1400000</v>
      </c>
      <c r="AR15" s="88">
        <v>1400000</v>
      </c>
      <c r="AS15" s="88">
        <v>1400000</v>
      </c>
      <c r="AT15" s="88">
        <v>1017612.0800000001</v>
      </c>
      <c r="AU15" s="88"/>
      <c r="AV15" s="87">
        <f t="shared" si="7"/>
        <v>16617612.08</v>
      </c>
      <c r="AW15" s="87">
        <f t="shared" si="8"/>
        <v>0</v>
      </c>
      <c r="AX15" s="82" t="s">
        <v>197</v>
      </c>
      <c r="AY15" s="95" t="s">
        <v>208</v>
      </c>
    </row>
    <row r="16" spans="1:51" ht="115.5" x14ac:dyDescent="0.25">
      <c r="A16" s="62" t="s">
        <v>128</v>
      </c>
      <c r="B16" s="62" t="s">
        <v>129</v>
      </c>
      <c r="C16" s="72" t="s">
        <v>161</v>
      </c>
      <c r="D16" s="63" t="s">
        <v>136</v>
      </c>
      <c r="E16" s="10" t="s">
        <v>46</v>
      </c>
      <c r="F16" s="66" t="s">
        <v>162</v>
      </c>
      <c r="G16" s="12">
        <v>44791</v>
      </c>
      <c r="H16" s="12">
        <v>46387</v>
      </c>
      <c r="I16" s="42" t="s">
        <v>163</v>
      </c>
      <c r="J16" s="42" t="s">
        <v>164</v>
      </c>
      <c r="K16" s="13">
        <v>31</v>
      </c>
      <c r="L16" s="15">
        <v>7314984</v>
      </c>
      <c r="M16" s="19"/>
      <c r="N16" s="14">
        <f>7335048</f>
        <v>7335048</v>
      </c>
      <c r="O16" s="14">
        <f t="shared" si="1"/>
        <v>14650032</v>
      </c>
      <c r="P16" s="14"/>
      <c r="Q16" s="14"/>
      <c r="R16" s="14"/>
      <c r="S16" s="14">
        <f>348+5000000+1250000</f>
        <v>6250348</v>
      </c>
      <c r="T16" s="14"/>
      <c r="U16" s="14"/>
      <c r="V16" s="19">
        <f t="shared" si="2"/>
        <v>6250348</v>
      </c>
      <c r="W16" s="15">
        <f t="shared" si="3"/>
        <v>8399684</v>
      </c>
      <c r="X16" s="8"/>
      <c r="Y16" s="8"/>
      <c r="Z16" s="8"/>
      <c r="AA16" s="8">
        <v>2545174.34</v>
      </c>
      <c r="AB16" s="8">
        <v>4389270</v>
      </c>
      <c r="AC16" s="8">
        <v>756000</v>
      </c>
      <c r="AD16" s="8"/>
      <c r="AE16" s="14">
        <f t="shared" si="9"/>
        <v>7690444.3399999999</v>
      </c>
      <c r="AF16" s="15">
        <f t="shared" si="5"/>
        <v>709239.66000000015</v>
      </c>
      <c r="AG16" s="46">
        <f t="shared" si="6"/>
        <v>0.91556353072329866</v>
      </c>
      <c r="AH16" s="88" t="s">
        <v>46</v>
      </c>
      <c r="AI16" s="88">
        <v>12045</v>
      </c>
      <c r="AJ16" s="88">
        <v>12045</v>
      </c>
      <c r="AK16" s="88">
        <v>12045</v>
      </c>
      <c r="AL16" s="88">
        <v>12045</v>
      </c>
      <c r="AM16" s="88">
        <v>12045</v>
      </c>
      <c r="AN16" s="88">
        <v>12049.66</v>
      </c>
      <c r="AO16" s="88">
        <v>108393</v>
      </c>
      <c r="AP16" s="88">
        <v>108393</v>
      </c>
      <c r="AQ16" s="88">
        <v>108393</v>
      </c>
      <c r="AR16" s="88">
        <v>108393</v>
      </c>
      <c r="AS16" s="88">
        <v>108393</v>
      </c>
      <c r="AT16" s="88">
        <v>95000</v>
      </c>
      <c r="AU16" s="88"/>
      <c r="AV16" s="87">
        <f t="shared" si="7"/>
        <v>709239.66</v>
      </c>
      <c r="AW16" s="87">
        <f>AV16-AF16</f>
        <v>0</v>
      </c>
      <c r="AX16" s="82" t="s">
        <v>189</v>
      </c>
      <c r="AY16" s="95" t="s">
        <v>209</v>
      </c>
    </row>
    <row r="17" spans="1:51" ht="26.25" x14ac:dyDescent="0.25">
      <c r="A17" s="62" t="s">
        <v>128</v>
      </c>
      <c r="B17" s="62" t="s">
        <v>129</v>
      </c>
      <c r="C17" s="73" t="s">
        <v>165</v>
      </c>
      <c r="D17" s="63" t="s">
        <v>136</v>
      </c>
      <c r="E17" s="10" t="s">
        <v>46</v>
      </c>
      <c r="F17" s="66" t="s">
        <v>166</v>
      </c>
      <c r="G17" s="12">
        <v>45364</v>
      </c>
      <c r="H17" s="23">
        <v>46022</v>
      </c>
      <c r="I17" s="42">
        <v>1383</v>
      </c>
      <c r="J17" s="30">
        <v>45</v>
      </c>
      <c r="K17" s="13">
        <v>24</v>
      </c>
      <c r="L17" s="25">
        <v>873360</v>
      </c>
      <c r="M17" s="14"/>
      <c r="N17" s="14"/>
      <c r="O17" s="14">
        <f t="shared" si="1"/>
        <v>873360</v>
      </c>
      <c r="P17" s="14"/>
      <c r="Q17" s="14"/>
      <c r="R17" s="14"/>
      <c r="S17" s="14"/>
      <c r="T17" s="14"/>
      <c r="U17" s="14"/>
      <c r="V17" s="14">
        <f t="shared" si="2"/>
        <v>0</v>
      </c>
      <c r="W17" s="15">
        <f t="shared" si="3"/>
        <v>873360</v>
      </c>
      <c r="X17" s="8"/>
      <c r="Y17" s="8"/>
      <c r="Z17" s="8"/>
      <c r="AA17" s="8"/>
      <c r="AB17" s="8">
        <v>667180.00999999989</v>
      </c>
      <c r="AC17" s="8">
        <v>204867.01</v>
      </c>
      <c r="AD17" s="8"/>
      <c r="AE17" s="14">
        <f t="shared" si="9"/>
        <v>872047.0199999999</v>
      </c>
      <c r="AF17" s="25">
        <f t="shared" si="5"/>
        <v>1312.9800000000978</v>
      </c>
      <c r="AG17" s="46">
        <f t="shared" si="6"/>
        <v>0.99849663369057418</v>
      </c>
      <c r="AH17" s="88" t="s">
        <v>46</v>
      </c>
      <c r="AI17" s="88"/>
      <c r="AJ17" s="88"/>
      <c r="AK17" s="88"/>
      <c r="AL17" s="88"/>
      <c r="AM17" s="88"/>
      <c r="AN17" s="88"/>
      <c r="AO17" s="88"/>
      <c r="AP17" s="88"/>
      <c r="AQ17" s="88"/>
      <c r="AR17" s="88"/>
      <c r="AS17" s="88"/>
      <c r="AT17" s="88"/>
      <c r="AU17" s="88"/>
      <c r="AV17" s="87">
        <f t="shared" si="7"/>
        <v>0</v>
      </c>
      <c r="AW17" s="87">
        <f t="shared" si="8"/>
        <v>-1312.9800000000978</v>
      </c>
      <c r="AX17" s="82" t="s">
        <v>175</v>
      </c>
      <c r="AY17" s="95" t="s">
        <v>190</v>
      </c>
    </row>
    <row r="18" spans="1:51" ht="90" x14ac:dyDescent="0.25">
      <c r="A18" s="62" t="s">
        <v>128</v>
      </c>
      <c r="B18" s="62" t="s">
        <v>129</v>
      </c>
      <c r="C18" s="73" t="s">
        <v>167</v>
      </c>
      <c r="D18" s="63" t="s">
        <v>136</v>
      </c>
      <c r="E18" s="10"/>
      <c r="F18" s="66" t="s">
        <v>168</v>
      </c>
      <c r="G18" s="12">
        <v>45456</v>
      </c>
      <c r="H18" s="12">
        <v>46386</v>
      </c>
      <c r="I18" s="30">
        <v>3646</v>
      </c>
      <c r="J18" s="30">
        <v>41</v>
      </c>
      <c r="K18" s="13">
        <v>31</v>
      </c>
      <c r="L18" s="15">
        <v>3888162</v>
      </c>
      <c r="M18" s="14"/>
      <c r="N18" s="14"/>
      <c r="O18" s="14">
        <f t="shared" si="1"/>
        <v>3888162</v>
      </c>
      <c r="P18" s="14"/>
      <c r="Q18" s="14"/>
      <c r="R18" s="14"/>
      <c r="S18" s="14"/>
      <c r="T18" s="14"/>
      <c r="U18" s="14"/>
      <c r="V18" s="14">
        <f t="shared" si="2"/>
        <v>0</v>
      </c>
      <c r="W18" s="15">
        <f t="shared" si="3"/>
        <v>3888162</v>
      </c>
      <c r="X18" s="8"/>
      <c r="Y18" s="8"/>
      <c r="Z18" s="8"/>
      <c r="AA18" s="8"/>
      <c r="AB18" s="8">
        <v>83600</v>
      </c>
      <c r="AC18" s="8">
        <v>0</v>
      </c>
      <c r="AD18" s="8"/>
      <c r="AE18" s="14">
        <f t="shared" si="9"/>
        <v>83600</v>
      </c>
      <c r="AF18" s="15">
        <f t="shared" si="5"/>
        <v>3804562</v>
      </c>
      <c r="AG18" s="48">
        <f t="shared" si="6"/>
        <v>2.1501161731429914E-2</v>
      </c>
      <c r="AH18" s="88" t="s">
        <v>46</v>
      </c>
      <c r="AI18" s="88"/>
      <c r="AJ18" s="88"/>
      <c r="AK18" s="88">
        <v>380456.2</v>
      </c>
      <c r="AL18" s="88">
        <v>380456.2</v>
      </c>
      <c r="AM18" s="88">
        <v>380456.2</v>
      </c>
      <c r="AN18" s="88">
        <v>380456.2</v>
      </c>
      <c r="AO18" s="88">
        <v>380456.2</v>
      </c>
      <c r="AP18" s="88">
        <v>380456.2</v>
      </c>
      <c r="AQ18" s="88">
        <v>380456.2</v>
      </c>
      <c r="AR18" s="88">
        <v>380456.2</v>
      </c>
      <c r="AS18" s="88">
        <v>380456.2</v>
      </c>
      <c r="AT18" s="88">
        <v>380456.2</v>
      </c>
      <c r="AU18" s="88"/>
      <c r="AV18" s="87">
        <f t="shared" si="7"/>
        <v>3804562.0000000009</v>
      </c>
      <c r="AW18" s="87">
        <f t="shared" si="8"/>
        <v>0</v>
      </c>
      <c r="AX18" s="82" t="s">
        <v>189</v>
      </c>
      <c r="AY18" s="95" t="s">
        <v>191</v>
      </c>
    </row>
    <row r="19" spans="1:51" x14ac:dyDescent="0.25">
      <c r="A19" s="32"/>
      <c r="B19" s="32"/>
      <c r="C19" s="76"/>
      <c r="D19" s="33"/>
      <c r="E19" s="33"/>
      <c r="F19" s="68"/>
      <c r="G19" s="35"/>
      <c r="H19" s="35"/>
      <c r="I19" s="45"/>
      <c r="J19" s="45"/>
      <c r="K19" s="36"/>
      <c r="L19" s="37">
        <f t="shared" ref="L19:AF19" si="10">SUM(L4:L18)</f>
        <v>66041249</v>
      </c>
      <c r="M19" s="37">
        <f t="shared" si="10"/>
        <v>91031</v>
      </c>
      <c r="N19" s="37">
        <f t="shared" si="10"/>
        <v>11022849</v>
      </c>
      <c r="O19" s="37">
        <f t="shared" si="10"/>
        <v>77155129</v>
      </c>
      <c r="P19" s="37">
        <f t="shared" si="10"/>
        <v>0</v>
      </c>
      <c r="Q19" s="37">
        <f t="shared" si="10"/>
        <v>401607</v>
      </c>
      <c r="R19" s="37">
        <f t="shared" si="10"/>
        <v>169817</v>
      </c>
      <c r="S19" s="37">
        <f t="shared" si="10"/>
        <v>7733119</v>
      </c>
      <c r="T19" s="37">
        <f t="shared" si="10"/>
        <v>0</v>
      </c>
      <c r="U19" s="37">
        <f t="shared" si="10"/>
        <v>0</v>
      </c>
      <c r="V19" s="37">
        <f t="shared" si="10"/>
        <v>8304543</v>
      </c>
      <c r="W19" s="37">
        <f t="shared" si="10"/>
        <v>68850586</v>
      </c>
      <c r="X19" s="7">
        <f t="shared" si="10"/>
        <v>0</v>
      </c>
      <c r="Y19" s="7">
        <f t="shared" si="10"/>
        <v>422.52</v>
      </c>
      <c r="Z19" s="7">
        <f t="shared" si="10"/>
        <v>1606265.1499999997</v>
      </c>
      <c r="AA19" s="7">
        <f t="shared" si="10"/>
        <v>10614937.689999999</v>
      </c>
      <c r="AB19" s="7">
        <f t="shared" si="10"/>
        <v>16541412.069999998</v>
      </c>
      <c r="AC19" s="7">
        <f t="shared" si="10"/>
        <v>4465122.6099999994</v>
      </c>
      <c r="AD19" s="7">
        <f t="shared" si="10"/>
        <v>0</v>
      </c>
      <c r="AE19" s="37">
        <f t="shared" si="10"/>
        <v>33228160.039999992</v>
      </c>
      <c r="AF19" s="37">
        <f t="shared" si="10"/>
        <v>35622425.960000001</v>
      </c>
      <c r="AG19" s="34"/>
      <c r="AH19" s="90"/>
      <c r="AI19" s="90"/>
      <c r="AJ19" s="90"/>
      <c r="AK19" s="90"/>
      <c r="AL19" s="90"/>
      <c r="AM19" s="90"/>
      <c r="AN19" s="90"/>
      <c r="AO19" s="90"/>
      <c r="AP19" s="90"/>
      <c r="AQ19" s="90"/>
      <c r="AR19" s="90"/>
      <c r="AS19" s="90"/>
      <c r="AT19" s="90"/>
      <c r="AU19" s="90"/>
      <c r="AV19" s="90"/>
      <c r="AW19" s="90"/>
      <c r="AX19" s="79"/>
      <c r="AY19" s="79"/>
    </row>
    <row r="20" spans="1:51" x14ac:dyDescent="0.25">
      <c r="AC20" s="31"/>
    </row>
  </sheetData>
  <autoFilter ref="A1:AY19" xr:uid="{7313013E-DD21-44A7-8DB6-8FA7B2EC6864}">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autoFilter>
  <mergeCells count="2">
    <mergeCell ref="AH1:AW2"/>
    <mergeCell ref="AE2:AF2"/>
  </mergeCells>
  <hyperlinks>
    <hyperlink ref="C18" location="'409-24CMH9A01'!A1" display="24CMH9A01" xr:uid="{05CCA79E-00DF-486C-8BDD-DA5F6EEFF658}"/>
    <hyperlink ref="C17" location="'409-24CAMRP01'!A1" display="24CAMRP01" xr:uid="{7B319D26-15EE-4544-86E8-2723CFF18AC9}"/>
    <hyperlink ref="C5" location="'409-22DSWHD01a'!A1" display="22DSWHD01a" xr:uid="{1BB55F9A-05E3-4744-857F-B315688DB8E0}"/>
    <hyperlink ref="C7" location="'409-23EMGCS02'!A1" display="23EMGCS02" xr:uid="{1011070A-9E0D-406D-A9F6-8D89219B4B68}"/>
    <hyperlink ref="C12" location="'409-23NWFEO01'!A1" display=" " xr:uid="{0440DF44-5288-4D18-BA42-6A4327BBD500}"/>
    <hyperlink ref="C16" location="'409-23WINIC01'!A1" display="23WINIC01" xr:uid="{6CB45CCA-219E-4AD3-B53D-AD6FC53DA27F}"/>
    <hyperlink ref="C15" location="'409-23UNITY01'!A1" display="23UNITY01" xr:uid="{8D7E234B-6CEE-4B8E-A127-5DDC65670398}"/>
    <hyperlink ref="C11" location="'409-23LVSRC01'!A1" display="23LVSRC01" xr:uid="{8DABF84B-F5EB-4EE0-ABEA-891EF9AAA354}"/>
    <hyperlink ref="C10" location="'409-23IFIHS01'!A1" display="23IFIHS01" xr:uid="{C876B4A0-6DBD-42E4-A90B-90B10CF79279}"/>
    <hyperlink ref="C9" location="'409-23FTFPS01'!Print_Area" display="23FTFPS01" xr:uid="{CCBBE40E-53D8-4249-93B4-9C9FA9845CC6}"/>
    <hyperlink ref="C6" location="'409-23CLKCW01'!A1" display="23CLKCW01" xr:uid="{AB8DE47A-1355-405D-8970-7C81D8D65159}"/>
    <hyperlink ref="C8" location="'409-23EMPLR02'!A1" display="23EMPLR02" xr:uid="{DB60A6C3-7332-4C6A-BC33-D3BD03880D8C}"/>
    <hyperlink ref="C13" location="'409-23SUPST3145'!A1" display="23SUPST3145" xr:uid="{3F12E441-9CFD-4ED2-A70D-FD90BC776E6A}"/>
    <hyperlink ref="C4" location="'409-22DSWHD01'!A1" display="22DSWHD01" xr:uid="{51C7E6A7-E5FC-4AA6-89DB-C81C3EC02888}"/>
    <hyperlink ref="C14" location="'409-23SUPST3146'!A1" display="23SUPST3146" xr:uid="{F14911A3-F211-4364-B2B3-3E26F49B7B24}"/>
  </hyperlinks>
  <pageMargins left="0.7" right="0.7" top="0.75" bottom="0.75" header="0.3" footer="0.3"/>
  <pageSetup paperSize="5" fitToWidth="0" orientation="landscape"/>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8576EBB607CC43A876918692A4B9F3" ma:contentTypeVersion="11" ma:contentTypeDescription="Create a new document." ma:contentTypeScope="" ma:versionID="0330f403bda908e03c402a178af07dbf">
  <xsd:schema xmlns:xsd="http://www.w3.org/2001/XMLSchema" xmlns:xs="http://www.w3.org/2001/XMLSchema" xmlns:p="http://schemas.microsoft.com/office/2006/metadata/properties" xmlns:ns2="46c48e1f-232e-4cdf-bc27-113ca8dd4fab" xmlns:ns3="01421d98-f01e-45d0-b4cb-573a15f839af" targetNamespace="http://schemas.microsoft.com/office/2006/metadata/properties" ma:root="true" ma:fieldsID="9b55d38d7f86868b9ad07beda89534cb" ns2:_="" ns3:_="">
    <xsd:import namespace="46c48e1f-232e-4cdf-bc27-113ca8dd4fab"/>
    <xsd:import namespace="01421d98-f01e-45d0-b4cb-573a15f839a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48e1f-232e-4cdf-bc27-113ca8dd4f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421d98-f01e-45d0-b4cb-573a15f839a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6EAF94-16B3-4BB0-8BD7-2A7272471B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48e1f-232e-4cdf-bc27-113ca8dd4fab"/>
    <ds:schemaRef ds:uri="01421d98-f01e-45d0-b4cb-573a15f83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D854E5-8733-4B61-8C2C-2B73B5C8D2C8}">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purl.org/dc/elements/1.1/"/>
    <ds:schemaRef ds:uri="46c48e1f-232e-4cdf-bc27-113ca8dd4fab"/>
    <ds:schemaRef ds:uri="01421d98-f01e-45d0-b4cb-573a15f839af"/>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FDE312C-1B4B-4C23-8994-0350A82555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ARPA Projects </vt:lpstr>
      <vt:lpstr>ADSD</vt:lpstr>
      <vt:lpstr>DO</vt:lpstr>
      <vt:lpstr>DPBH</vt:lpstr>
      <vt:lpstr>DSS-DWSS</vt:lpstr>
      <vt:lpstr>DCFS</vt:lpstr>
      <vt:lpstr>'ARPA Projects '!Print_Area</vt:lpstr>
      <vt:lpstr>'ARPA Projects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Danette M. Kluever</dc:creator>
  <cp:keywords/>
  <dc:description/>
  <cp:lastModifiedBy>Sophia Allec</cp:lastModifiedBy>
  <cp:revision/>
  <dcterms:created xsi:type="dcterms:W3CDTF">2026-01-15T23:52:55Z</dcterms:created>
  <dcterms:modified xsi:type="dcterms:W3CDTF">2026-01-30T23:53:47Z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0x010100AD8576EBB607CC43A876918692A4B9F3</vt:lpwstr>
  </property>
</Properties>
</file>