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66925"/>
  <mc:AlternateContent xmlns:mc="http://schemas.openxmlformats.org/markup-compatibility/2006">
    <mc:Choice Requires="x15">
      <x15ac:absPath xmlns:x15ac="http://schemas.microsoft.com/office/spreadsheetml/2010/11/ac" url="https://nv.sharepoint.com/sites/DHHSPIOLiaisons/Shared Documents/General/Critical Issues and Incidents/ARPA Funding/09-01-2025/"/>
    </mc:Choice>
  </mc:AlternateContent>
  <xr:revisionPtr revIDLastSave="414" documentId="8_{606F9D43-60F0-4E97-A625-35BC5B799D23}" xr6:coauthVersionLast="47" xr6:coauthVersionMax="47" xr10:uidLastSave="{82DE77FB-A99F-4862-9A7A-AB15CA62ADD8}"/>
  <bookViews>
    <workbookView xWindow="13830" yWindow="-16320" windowWidth="29040" windowHeight="15720" tabRatio="592" firstSheet="1" activeTab="5" xr2:uid="{2F04A451-767B-458A-84EC-F2B89EA83FB7}"/>
  </bookViews>
  <sheets>
    <sheet name="Data Validation" sheetId="11" state="hidden" r:id="rId1"/>
    <sheet name="Agency Projects" sheetId="2" r:id="rId2"/>
    <sheet name="3.13.24 IFC" sheetId="30" state="hidden" r:id="rId3"/>
    <sheet name="Charts" sheetId="15" r:id="rId4"/>
    <sheet name="Detail1" sheetId="31" state="hidden" r:id="rId5"/>
    <sheet name="Updated Pivot" sheetId="32" r:id="rId6"/>
  </sheets>
  <definedNames>
    <definedName name="_xlnm._FilterDatabase" localSheetId="1" hidden="1">'Agency Projects'!$A$2:$AP$140</definedName>
    <definedName name="_xlnm.Print_Area" localSheetId="1">'Agency Projects'!$A$11:$AL$32</definedName>
    <definedName name="_xlnm.Print_Area" localSheetId="3">Charts!$A$2:$H$58</definedName>
    <definedName name="_xlnm.Print_Titles" localSheetId="1">'Agency Projects'!$4:$4</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1" i="2" l="1"/>
  <c r="J51" i="2"/>
  <c r="J36" i="2"/>
  <c r="Y8" i="2"/>
  <c r="AA8" i="2"/>
  <c r="AD8" i="2"/>
  <c r="K139" i="2"/>
  <c r="V139" i="2"/>
  <c r="W139" i="2"/>
  <c r="Y139" i="2"/>
  <c r="H6" i="2"/>
  <c r="H3" i="2"/>
  <c r="H5" i="2"/>
  <c r="H4" i="2"/>
  <c r="H11" i="2"/>
  <c r="H12" i="2"/>
  <c r="H13" i="2"/>
  <c r="H14" i="2"/>
  <c r="H15" i="2"/>
  <c r="H16" i="2"/>
  <c r="H18" i="2"/>
  <c r="H19" i="2"/>
  <c r="H21" i="2"/>
  <c r="H22" i="2"/>
  <c r="H23" i="2"/>
  <c r="H28" i="2"/>
  <c r="H29" i="2"/>
  <c r="H32" i="2"/>
  <c r="H37" i="2"/>
  <c r="H38" i="2"/>
  <c r="H39" i="2"/>
  <c r="H40" i="2"/>
  <c r="H41" i="2"/>
  <c r="H42" i="2"/>
  <c r="H44" i="2"/>
  <c r="H45" i="2"/>
  <c r="H46" i="2"/>
  <c r="H47" i="2"/>
  <c r="H49" i="2"/>
  <c r="H50" i="2"/>
  <c r="H52" i="2"/>
  <c r="H53" i="2"/>
  <c r="H54" i="2"/>
  <c r="H57" i="2"/>
  <c r="H59" i="2"/>
  <c r="H61" i="2"/>
  <c r="H70" i="2"/>
  <c r="H74" i="2"/>
  <c r="H82" i="2"/>
  <c r="H78" i="2"/>
  <c r="H84" i="2"/>
  <c r="H81" i="2"/>
  <c r="H87" i="2"/>
  <c r="H118" i="2"/>
  <c r="H126" i="2"/>
  <c r="H119" i="2"/>
  <c r="H127" i="2"/>
  <c r="H91" i="2"/>
  <c r="H92" i="2"/>
  <c r="H93" i="2"/>
  <c r="H94" i="2"/>
  <c r="H134" i="2"/>
  <c r="H96" i="2"/>
  <c r="H97" i="2"/>
  <c r="H116" i="2"/>
  <c r="H99" i="2"/>
  <c r="H120" i="2"/>
  <c r="H121" i="2"/>
  <c r="H110" i="2"/>
  <c r="H102" i="2"/>
  <c r="H128" i="2"/>
  <c r="H129" i="2"/>
  <c r="H130" i="2"/>
  <c r="H122" i="2"/>
  <c r="H89" i="2"/>
  <c r="H123" i="2"/>
  <c r="H138" i="2"/>
  <c r="H131" i="2"/>
  <c r="H105" i="2"/>
  <c r="H106" i="2"/>
  <c r="H132" i="2"/>
  <c r="H88" i="2"/>
  <c r="H86" i="2"/>
  <c r="H107" i="2"/>
  <c r="H136" i="2"/>
  <c r="H137" i="2"/>
  <c r="H109" i="2"/>
  <c r="H117" i="2"/>
  <c r="H135" i="2"/>
  <c r="L133" i="2"/>
  <c r="AA87" i="2"/>
  <c r="AC66" i="2"/>
  <c r="AA89" i="2"/>
  <c r="J66" i="2"/>
  <c r="J61" i="2"/>
  <c r="AA81" i="2"/>
  <c r="AD87" i="2"/>
  <c r="C55" i="15"/>
  <c r="C8" i="15"/>
  <c r="D54" i="32"/>
  <c r="C62" i="15"/>
  <c r="C68" i="15"/>
  <c r="C7" i="15"/>
  <c r="D53" i="32"/>
  <c r="C4" i="15"/>
  <c r="E64" i="15"/>
  <c r="C72" i="15"/>
  <c r="C30" i="15"/>
  <c r="D52" i="32"/>
  <c r="D49" i="32"/>
  <c r="C61" i="15"/>
  <c r="E63" i="15"/>
  <c r="E60" i="15"/>
  <c r="D51" i="32"/>
  <c r="E61" i="15"/>
  <c r="C52" i="15"/>
  <c r="E62" i="15"/>
  <c r="C28" i="15"/>
  <c r="C60" i="15"/>
  <c r="C29" i="15"/>
  <c r="C53" i="15"/>
  <c r="C69" i="15"/>
  <c r="C63" i="15"/>
  <c r="C32" i="15"/>
  <c r="C51" i="15"/>
  <c r="D50" i="32"/>
  <c r="C64" i="15"/>
  <c r="C71" i="15"/>
  <c r="C6" i="15"/>
  <c r="C5" i="15"/>
  <c r="C31" i="15"/>
  <c r="C54" i="15"/>
  <c r="C56" i="15"/>
  <c r="C73" i="15"/>
  <c r="C27" i="15"/>
  <c r="D55" i="32"/>
  <c r="C70" i="15"/>
  <c r="C9" i="15" l="1"/>
  <c r="Z139" i="2"/>
  <c r="AD108" i="2"/>
  <c r="M120" i="2"/>
  <c r="X124" i="2"/>
  <c r="G124" i="2"/>
  <c r="AA36" i="2" l="1"/>
  <c r="M137" i="2"/>
  <c r="J137" i="2"/>
  <c r="L137" i="2" s="1"/>
  <c r="AC137" i="2"/>
  <c r="C74" i="15" l="1"/>
  <c r="AH104" i="2"/>
  <c r="X90" i="2" l="1"/>
  <c r="H17" i="2" l="1"/>
  <c r="H124" i="2"/>
  <c r="D69" i="15"/>
  <c r="J34" i="2" l="1"/>
  <c r="O34" i="2"/>
  <c r="M34" i="2"/>
  <c r="AD135" i="2"/>
  <c r="L34" i="2" l="1"/>
  <c r="N34" i="2" s="1"/>
  <c r="AE135" i="2"/>
  <c r="AA114" i="2"/>
  <c r="AB114" i="2" s="1"/>
  <c r="AD114" i="2"/>
  <c r="AE114" i="2" s="1"/>
  <c r="X114" i="2"/>
  <c r="L114" i="2"/>
  <c r="N114" i="2" s="1"/>
  <c r="G114" i="2"/>
  <c r="H114" i="2" s="1"/>
  <c r="AN114" i="2" l="1"/>
  <c r="AF114" i="2"/>
  <c r="AD51" i="2" l="1"/>
  <c r="AA15" i="2" l="1"/>
  <c r="X13" i="2"/>
  <c r="AA84" i="2" l="1"/>
  <c r="I83" i="2" l="1"/>
  <c r="O112" i="2" l="1"/>
  <c r="I112" i="2"/>
  <c r="AD17" i="2" l="1"/>
  <c r="AA17" i="2"/>
  <c r="AB17" i="2" s="1"/>
  <c r="AN17" i="2" l="1"/>
  <c r="AE17" i="2"/>
  <c r="X17" i="2" l="1"/>
  <c r="AF17" i="2" s="1"/>
  <c r="AD48" i="2" l="1"/>
  <c r="AA7" i="2" l="1"/>
  <c r="AA108" i="2"/>
  <c r="X108" i="2"/>
  <c r="AF108" i="2" s="1"/>
  <c r="L108" i="2"/>
  <c r="N108" i="2" s="1"/>
  <c r="G108" i="2"/>
  <c r="H108" i="2" s="1"/>
  <c r="J132" i="2"/>
  <c r="AC130" i="2"/>
  <c r="J130" i="2"/>
  <c r="AB108" i="2" l="1"/>
  <c r="AN108" i="2"/>
  <c r="AE108" i="2"/>
  <c r="I130" i="2"/>
  <c r="AC132" i="2"/>
  <c r="I132" i="2"/>
  <c r="AC123" i="2"/>
  <c r="J123" i="2"/>
  <c r="I123" i="2" l="1"/>
  <c r="I113" i="2"/>
  <c r="O113" i="2" l="1"/>
  <c r="AC122" i="2"/>
  <c r="J122" i="2"/>
  <c r="I122" i="2"/>
  <c r="I139" i="2" s="1"/>
  <c r="AC129" i="2" l="1"/>
  <c r="AC139" i="2" s="1"/>
  <c r="J129" i="2"/>
  <c r="M128" i="2" l="1"/>
  <c r="M139" i="2" s="1"/>
  <c r="X131" i="2" l="1"/>
  <c r="X125" i="2"/>
  <c r="L19" i="2" l="1"/>
  <c r="AD133" i="2"/>
  <c r="AA133" i="2"/>
  <c r="X133" i="2"/>
  <c r="N133" i="2"/>
  <c r="G133" i="2"/>
  <c r="H133" i="2" s="1"/>
  <c r="AN133" i="2" l="1"/>
  <c r="AF133" i="2"/>
  <c r="AE133" i="2"/>
  <c r="AD111" i="2" l="1"/>
  <c r="AA111" i="2"/>
  <c r="AB111" i="2" s="1"/>
  <c r="X111" i="2"/>
  <c r="L111" i="2"/>
  <c r="N111" i="2" s="1"/>
  <c r="G111" i="2"/>
  <c r="H111" i="2" s="1"/>
  <c r="AN111" i="2" l="1"/>
  <c r="AF111" i="2"/>
  <c r="AE111" i="2"/>
  <c r="J139" i="2" l="1"/>
  <c r="L8" i="2" l="1"/>
  <c r="N8" i="2" s="1"/>
  <c r="L5" i="2"/>
  <c r="N5" i="2" s="1"/>
  <c r="L4" i="2"/>
  <c r="L3" i="2"/>
  <c r="N3" i="2" s="1"/>
  <c r="L6" i="2"/>
  <c r="N6" i="2" s="1"/>
  <c r="L23" i="2"/>
  <c r="N23" i="2" s="1"/>
  <c r="N19" i="2"/>
  <c r="L26" i="2"/>
  <c r="N26" i="2" s="1"/>
  <c r="L31" i="2"/>
  <c r="N31" i="2" s="1"/>
  <c r="L15" i="2"/>
  <c r="N15" i="2" s="1"/>
  <c r="L12" i="2"/>
  <c r="N12" i="2" s="1"/>
  <c r="L16" i="2"/>
  <c r="N16" i="2" s="1"/>
  <c r="L9" i="2"/>
  <c r="N9" i="2" s="1"/>
  <c r="L10" i="2"/>
  <c r="N10" i="2" s="1"/>
  <c r="L18" i="2"/>
  <c r="N18" i="2" s="1"/>
  <c r="L24" i="2"/>
  <c r="N24" i="2" s="1"/>
  <c r="L25" i="2"/>
  <c r="N25" i="2" s="1"/>
  <c r="L11" i="2"/>
  <c r="N11" i="2" s="1"/>
  <c r="L27" i="2"/>
  <c r="N27" i="2" s="1"/>
  <c r="L22" i="2"/>
  <c r="N22" i="2" s="1"/>
  <c r="L28" i="2"/>
  <c r="N28" i="2" s="1"/>
  <c r="L13" i="2"/>
  <c r="N13" i="2" s="1"/>
  <c r="L14" i="2"/>
  <c r="N14" i="2" s="1"/>
  <c r="L29" i="2"/>
  <c r="N29" i="2" s="1"/>
  <c r="L20" i="2"/>
  <c r="N20" i="2" s="1"/>
  <c r="L30" i="2"/>
  <c r="N30" i="2" s="1"/>
  <c r="L21" i="2"/>
  <c r="N21" i="2" s="1"/>
  <c r="L32" i="2"/>
  <c r="N32" i="2" s="1"/>
  <c r="L38" i="2"/>
  <c r="N38" i="2" s="1"/>
  <c r="L37" i="2"/>
  <c r="N37" i="2" s="1"/>
  <c r="L39" i="2"/>
  <c r="N39" i="2" s="1"/>
  <c r="L40" i="2"/>
  <c r="N40" i="2" s="1"/>
  <c r="L33" i="2"/>
  <c r="N33" i="2" s="1"/>
  <c r="L36" i="2"/>
  <c r="N36" i="2" s="1"/>
  <c r="L35" i="2"/>
  <c r="N35" i="2" s="1"/>
  <c r="L44" i="2"/>
  <c r="N44" i="2" s="1"/>
  <c r="L41" i="2"/>
  <c r="N41" i="2" s="1"/>
  <c r="L42" i="2"/>
  <c r="N42" i="2" s="1"/>
  <c r="L43" i="2"/>
  <c r="N43" i="2" s="1"/>
  <c r="L45" i="2"/>
  <c r="N45" i="2" s="1"/>
  <c r="L46" i="2"/>
  <c r="N46" i="2" s="1"/>
  <c r="L47" i="2"/>
  <c r="N47" i="2" s="1"/>
  <c r="L48" i="2"/>
  <c r="N48" i="2" s="1"/>
  <c r="L49" i="2"/>
  <c r="N49" i="2" s="1"/>
  <c r="L50" i="2"/>
  <c r="N50" i="2" s="1"/>
  <c r="L51" i="2"/>
  <c r="N51" i="2" s="1"/>
  <c r="L54" i="2"/>
  <c r="N54" i="2" s="1"/>
  <c r="L52" i="2"/>
  <c r="N52" i="2" s="1"/>
  <c r="L53" i="2"/>
  <c r="N53" i="2" s="1"/>
  <c r="L57" i="2"/>
  <c r="N57" i="2" s="1"/>
  <c r="L55" i="2"/>
  <c r="N55" i="2" s="1"/>
  <c r="L56" i="2"/>
  <c r="N56" i="2" s="1"/>
  <c r="L58" i="2"/>
  <c r="N58" i="2" s="1"/>
  <c r="L59" i="2"/>
  <c r="N59" i="2" s="1"/>
  <c r="L60" i="2"/>
  <c r="N60" i="2" s="1"/>
  <c r="L62" i="2"/>
  <c r="N62" i="2" s="1"/>
  <c r="L63" i="2"/>
  <c r="N63" i="2" s="1"/>
  <c r="L65" i="2"/>
  <c r="N65" i="2" s="1"/>
  <c r="L61" i="2"/>
  <c r="N61" i="2" s="1"/>
  <c r="L64" i="2"/>
  <c r="N64" i="2" s="1"/>
  <c r="L66" i="2"/>
  <c r="N66" i="2" s="1"/>
  <c r="L67" i="2"/>
  <c r="N67" i="2" s="1"/>
  <c r="L68" i="2"/>
  <c r="N68" i="2" s="1"/>
  <c r="L69" i="2"/>
  <c r="N69" i="2" s="1"/>
  <c r="L70" i="2"/>
  <c r="N70" i="2" s="1"/>
  <c r="L71" i="2"/>
  <c r="N71" i="2" s="1"/>
  <c r="L72" i="2"/>
  <c r="N72" i="2" s="1"/>
  <c r="L73" i="2"/>
  <c r="N73" i="2" s="1"/>
  <c r="L75" i="2"/>
  <c r="N75" i="2" s="1"/>
  <c r="L76" i="2"/>
  <c r="N76" i="2" s="1"/>
  <c r="L77" i="2"/>
  <c r="N77" i="2" s="1"/>
  <c r="L74" i="2"/>
  <c r="N74" i="2" s="1"/>
  <c r="L82" i="2"/>
  <c r="L83" i="2"/>
  <c r="N83" i="2" s="1"/>
  <c r="L84" i="2"/>
  <c r="N84" i="2" s="1"/>
  <c r="L78" i="2"/>
  <c r="N78" i="2" s="1"/>
  <c r="L79" i="2"/>
  <c r="N79" i="2" s="1"/>
  <c r="L80" i="2"/>
  <c r="N80" i="2" s="1"/>
  <c r="L81" i="2"/>
  <c r="N81" i="2" s="1"/>
  <c r="L87" i="2"/>
  <c r="N87" i="2" s="1"/>
  <c r="L124" i="2"/>
  <c r="N124" i="2" s="1"/>
  <c r="L125" i="2"/>
  <c r="N125" i="2" s="1"/>
  <c r="L118" i="2"/>
  <c r="N118" i="2" s="1"/>
  <c r="L126" i="2"/>
  <c r="N126" i="2" s="1"/>
  <c r="L119" i="2"/>
  <c r="N119" i="2" s="1"/>
  <c r="L127" i="2"/>
  <c r="N127" i="2" s="1"/>
  <c r="L91" i="2"/>
  <c r="N91" i="2" s="1"/>
  <c r="L92" i="2"/>
  <c r="N92" i="2" s="1"/>
  <c r="L93" i="2"/>
  <c r="N93" i="2" s="1"/>
  <c r="L94" i="2"/>
  <c r="N94" i="2" s="1"/>
  <c r="L134" i="2"/>
  <c r="N134" i="2" s="1"/>
  <c r="L95" i="2"/>
  <c r="N95" i="2" s="1"/>
  <c r="L96" i="2"/>
  <c r="N96" i="2" s="1"/>
  <c r="L97" i="2"/>
  <c r="N97" i="2" s="1"/>
  <c r="L116" i="2"/>
  <c r="N116" i="2" s="1"/>
  <c r="L98" i="2"/>
  <c r="N98" i="2" s="1"/>
  <c r="L99" i="2"/>
  <c r="N99" i="2" s="1"/>
  <c r="L120" i="2"/>
  <c r="N120" i="2" s="1"/>
  <c r="L121" i="2"/>
  <c r="N121" i="2" s="1"/>
  <c r="L100" i="2"/>
  <c r="N100" i="2" s="1"/>
  <c r="L101" i="2"/>
  <c r="N101" i="2" s="1"/>
  <c r="L110" i="2"/>
  <c r="N110" i="2" s="1"/>
  <c r="L112" i="2"/>
  <c r="N112" i="2" s="1"/>
  <c r="L113" i="2"/>
  <c r="N113" i="2" s="1"/>
  <c r="L102" i="2"/>
  <c r="N102" i="2" s="1"/>
  <c r="L128" i="2"/>
  <c r="N128" i="2" s="1"/>
  <c r="L129" i="2"/>
  <c r="N129" i="2" s="1"/>
  <c r="L103" i="2"/>
  <c r="N103" i="2" s="1"/>
  <c r="L130" i="2"/>
  <c r="N130" i="2" s="1"/>
  <c r="L122" i="2"/>
  <c r="N122" i="2" s="1"/>
  <c r="L89" i="2"/>
  <c r="N89" i="2" s="1"/>
  <c r="L123" i="2"/>
  <c r="N123" i="2" s="1"/>
  <c r="L138" i="2"/>
  <c r="N138" i="2" s="1"/>
  <c r="L104" i="2"/>
  <c r="N104" i="2" s="1"/>
  <c r="L131" i="2"/>
  <c r="N131" i="2" s="1"/>
  <c r="L105" i="2"/>
  <c r="N105" i="2" s="1"/>
  <c r="L106" i="2"/>
  <c r="N106" i="2" s="1"/>
  <c r="L132" i="2"/>
  <c r="N132" i="2" s="1"/>
  <c r="L88" i="2"/>
  <c r="N88" i="2" s="1"/>
  <c r="L86" i="2"/>
  <c r="N86" i="2" s="1"/>
  <c r="L107" i="2"/>
  <c r="N107" i="2" s="1"/>
  <c r="L136" i="2"/>
  <c r="N136" i="2" s="1"/>
  <c r="N137" i="2"/>
  <c r="L109" i="2"/>
  <c r="N109" i="2" s="1"/>
  <c r="L90" i="2"/>
  <c r="N90" i="2" s="1"/>
  <c r="L115" i="2"/>
  <c r="N115" i="2" s="1"/>
  <c r="L117" i="2"/>
  <c r="N117" i="2" s="1"/>
  <c r="L135" i="2"/>
  <c r="N135" i="2" s="1"/>
  <c r="L85" i="2"/>
  <c r="N85" i="2" s="1"/>
  <c r="AE46" i="2"/>
  <c r="L7" i="2"/>
  <c r="D73" i="15"/>
  <c r="G61" i="15"/>
  <c r="G62" i="15"/>
  <c r="G63" i="15"/>
  <c r="G64" i="15"/>
  <c r="G60" i="15"/>
  <c r="E65" i="15"/>
  <c r="C65" i="15"/>
  <c r="D60" i="15" s="1"/>
  <c r="N4" i="2" l="1"/>
  <c r="L139" i="2"/>
  <c r="N7" i="2"/>
  <c r="D61" i="15"/>
  <c r="D62" i="15"/>
  <c r="D63" i="15"/>
  <c r="D64" i="15"/>
  <c r="F60" i="15"/>
  <c r="F64" i="15"/>
  <c r="F62" i="15"/>
  <c r="F61" i="15"/>
  <c r="F63" i="15"/>
  <c r="D70" i="15"/>
  <c r="D71" i="15"/>
  <c r="D72" i="15"/>
  <c r="D68" i="15"/>
  <c r="N82" i="2"/>
  <c r="AA137" i="2"/>
  <c r="AA82" i="2"/>
  <c r="C57" i="15"/>
  <c r="D52" i="15" s="1"/>
  <c r="C33" i="15"/>
  <c r="D4" i="15"/>
  <c r="N139" i="2" l="1"/>
  <c r="D74" i="15"/>
  <c r="D65" i="15"/>
  <c r="F65" i="15"/>
  <c r="D7" i="15"/>
  <c r="D6" i="15"/>
  <c r="D51" i="15"/>
  <c r="D56" i="15"/>
  <c r="D55" i="15"/>
  <c r="D54" i="15"/>
  <c r="D53" i="15"/>
  <c r="AD47" i="2"/>
  <c r="X47" i="2"/>
  <c r="AD37" i="2"/>
  <c r="X49" i="2"/>
  <c r="AD82" i="2"/>
  <c r="AE37" i="2" l="1"/>
  <c r="AE47" i="2"/>
  <c r="AE82" i="2"/>
  <c r="AN82" i="2"/>
  <c r="D57" i="15"/>
  <c r="AD136" i="2"/>
  <c r="AD107" i="2"/>
  <c r="AD86" i="2"/>
  <c r="AD88" i="2"/>
  <c r="AD89" i="2"/>
  <c r="AD128" i="2"/>
  <c r="AD120" i="2"/>
  <c r="AD127" i="2"/>
  <c r="AD126" i="2"/>
  <c r="AD118" i="2"/>
  <c r="D28" i="15"/>
  <c r="D29" i="15"/>
  <c r="D30" i="15"/>
  <c r="D31" i="15"/>
  <c r="D32" i="15"/>
  <c r="D27" i="15"/>
  <c r="D5" i="15"/>
  <c r="D8" i="15"/>
  <c r="F9" i="30"/>
  <c r="F23" i="30"/>
  <c r="F4" i="30"/>
  <c r="F5" i="30"/>
  <c r="F6" i="30"/>
  <c r="F7" i="30"/>
  <c r="F8" i="30"/>
  <c r="F10" i="30"/>
  <c r="F11" i="30"/>
  <c r="F12" i="30"/>
  <c r="F13" i="30"/>
  <c r="F14" i="30"/>
  <c r="F15" i="30"/>
  <c r="F16" i="30"/>
  <c r="F17" i="30"/>
  <c r="F18" i="30"/>
  <c r="F19" i="30"/>
  <c r="F20" i="30"/>
  <c r="F21" i="30"/>
  <c r="F22" i="30"/>
  <c r="F3" i="30"/>
  <c r="E23" i="30"/>
  <c r="C23" i="30"/>
  <c r="AE120" i="2" l="1"/>
  <c r="AE128" i="2"/>
  <c r="AE89" i="2"/>
  <c r="AE88" i="2"/>
  <c r="AE86" i="2"/>
  <c r="AE107" i="2"/>
  <c r="AE136" i="2"/>
  <c r="AE118" i="2"/>
  <c r="AE126" i="2"/>
  <c r="AE127" i="2"/>
  <c r="D9" i="15"/>
  <c r="D33" i="15"/>
  <c r="AA60" i="2"/>
  <c r="AB60" i="2" s="1"/>
  <c r="O137" i="2"/>
  <c r="AD119" i="2" l="1"/>
  <c r="AE119" i="2" l="1"/>
  <c r="AD121" i="2"/>
  <c r="AA51" i="2"/>
  <c r="AN51" i="2" s="1"/>
  <c r="G67" i="2"/>
  <c r="H67" i="2" s="1"/>
  <c r="AD79" i="2"/>
  <c r="AE79" i="2" s="1"/>
  <c r="G7" i="2"/>
  <c r="H7" i="2" s="1"/>
  <c r="O132" i="2"/>
  <c r="O123" i="2"/>
  <c r="AD123" i="2" s="1"/>
  <c r="O122" i="2"/>
  <c r="O130" i="2"/>
  <c r="AD130" i="2" s="1"/>
  <c r="AE130" i="2" l="1"/>
  <c r="AE121" i="2"/>
  <c r="AE123" i="2"/>
  <c r="AD122" i="2"/>
  <c r="AE122" i="2" l="1"/>
  <c r="X82" i="2" l="1"/>
  <c r="AA79" i="2" l="1"/>
  <c r="AN79" i="2" s="1"/>
  <c r="AD29" i="2"/>
  <c r="AE29" i="2" l="1"/>
  <c r="AD85" i="2"/>
  <c r="X85" i="2"/>
  <c r="AD5" i="2"/>
  <c r="AD23" i="2"/>
  <c r="AD19" i="2"/>
  <c r="AD26" i="2"/>
  <c r="AD31" i="2"/>
  <c r="AD15" i="2"/>
  <c r="AD12" i="2"/>
  <c r="AD16" i="2"/>
  <c r="AD9" i="2"/>
  <c r="AD10" i="2"/>
  <c r="AD18" i="2"/>
  <c r="AD24" i="2"/>
  <c r="AD25" i="2"/>
  <c r="AD11" i="2"/>
  <c r="AD27" i="2"/>
  <c r="AD22" i="2"/>
  <c r="AD28" i="2"/>
  <c r="AD13" i="2"/>
  <c r="AD14" i="2"/>
  <c r="AD20" i="2"/>
  <c r="AD30" i="2"/>
  <c r="AD21" i="2"/>
  <c r="AD32" i="2"/>
  <c r="AD54" i="2"/>
  <c r="AD52" i="2"/>
  <c r="AD53" i="2"/>
  <c r="AD50" i="2"/>
  <c r="AD59" i="2"/>
  <c r="AE51" i="2"/>
  <c r="AD41" i="2"/>
  <c r="AD44" i="2"/>
  <c r="AD42" i="2"/>
  <c r="AD43" i="2"/>
  <c r="AD73" i="2"/>
  <c r="AD63" i="2"/>
  <c r="AD65" i="2"/>
  <c r="AD68" i="2"/>
  <c r="AD62" i="2"/>
  <c r="AD61" i="2"/>
  <c r="AD64" i="2"/>
  <c r="AD70" i="2"/>
  <c r="AD38" i="2"/>
  <c r="AD39" i="2"/>
  <c r="AD58" i="2"/>
  <c r="AD55" i="2"/>
  <c r="AD56" i="2"/>
  <c r="AD69" i="2"/>
  <c r="AD71" i="2"/>
  <c r="AD75" i="2"/>
  <c r="AD76" i="2"/>
  <c r="AD77" i="2"/>
  <c r="AD74" i="2"/>
  <c r="AD49" i="2"/>
  <c r="AD57" i="2"/>
  <c r="AD45" i="2"/>
  <c r="AD60" i="2"/>
  <c r="AE48" i="2"/>
  <c r="AD33" i="2"/>
  <c r="AD66" i="2"/>
  <c r="AD72" i="2"/>
  <c r="AD34" i="2"/>
  <c r="AD36" i="2"/>
  <c r="AD35" i="2"/>
  <c r="AD83" i="2"/>
  <c r="AD84" i="2"/>
  <c r="AD78" i="2"/>
  <c r="AD80" i="2"/>
  <c r="AD81" i="2"/>
  <c r="AD124" i="2"/>
  <c r="AD125" i="2"/>
  <c r="AD91" i="2"/>
  <c r="AD92" i="2"/>
  <c r="AD93" i="2"/>
  <c r="AD94" i="2"/>
  <c r="AD134" i="2"/>
  <c r="AD95" i="2"/>
  <c r="AD96" i="2"/>
  <c r="AD97" i="2"/>
  <c r="AD116" i="2"/>
  <c r="AD98" i="2"/>
  <c r="AD99" i="2"/>
  <c r="AD100" i="2"/>
  <c r="AD101" i="2"/>
  <c r="AD110" i="2"/>
  <c r="AD112" i="2"/>
  <c r="AD113" i="2"/>
  <c r="AD102" i="2"/>
  <c r="AD129" i="2"/>
  <c r="AD103" i="2"/>
  <c r="AD138" i="2"/>
  <c r="AD104" i="2"/>
  <c r="AD131" i="2"/>
  <c r="AD105" i="2"/>
  <c r="AD106" i="2"/>
  <c r="AD137" i="2"/>
  <c r="AD109" i="2"/>
  <c r="AD90" i="2"/>
  <c r="AD117" i="2"/>
  <c r="AD67" i="2"/>
  <c r="AD7" i="2"/>
  <c r="X5" i="2"/>
  <c r="X8" i="2"/>
  <c r="AF8" i="2" s="1"/>
  <c r="X7" i="2"/>
  <c r="AE113" i="2" l="1"/>
  <c r="AE50" i="2"/>
  <c r="AE28" i="2"/>
  <c r="AE35" i="2"/>
  <c r="AE77" i="2"/>
  <c r="AE90" i="2"/>
  <c r="AE112" i="2"/>
  <c r="AE93" i="2"/>
  <c r="AE36" i="2"/>
  <c r="AE76" i="2"/>
  <c r="AE62" i="2"/>
  <c r="AE53" i="2"/>
  <c r="AE26" i="2"/>
  <c r="AE110" i="2"/>
  <c r="AE92" i="2"/>
  <c r="AE34" i="2"/>
  <c r="AE75" i="2"/>
  <c r="AE68" i="2"/>
  <c r="AE52" i="2"/>
  <c r="AE27" i="2"/>
  <c r="AE19" i="2"/>
  <c r="AE25" i="2"/>
  <c r="AE124" i="2"/>
  <c r="AE87" i="2"/>
  <c r="AE43" i="2"/>
  <c r="AE81" i="2"/>
  <c r="AE58" i="2"/>
  <c r="AE10" i="2"/>
  <c r="AE117" i="2"/>
  <c r="AE72" i="2"/>
  <c r="AE99" i="2"/>
  <c r="AE73" i="2"/>
  <c r="AE55" i="2"/>
  <c r="AE32" i="2"/>
  <c r="AE104" i="2"/>
  <c r="AE138" i="2"/>
  <c r="AE97" i="2"/>
  <c r="AE80" i="2"/>
  <c r="AE45" i="2"/>
  <c r="AE39" i="2"/>
  <c r="AE44" i="2"/>
  <c r="AE30" i="2"/>
  <c r="AE9" i="2"/>
  <c r="AE85" i="2"/>
  <c r="AE33" i="2"/>
  <c r="AE24" i="2"/>
  <c r="AE116" i="2"/>
  <c r="AE60" i="2"/>
  <c r="AN60" i="2"/>
  <c r="AE42" i="2"/>
  <c r="AE7" i="2"/>
  <c r="AN7" i="2"/>
  <c r="AE103" i="2"/>
  <c r="AE96" i="2"/>
  <c r="AE78" i="2"/>
  <c r="AE57" i="2"/>
  <c r="AE38" i="2"/>
  <c r="AE41" i="2"/>
  <c r="AE20" i="2"/>
  <c r="AE65" i="2"/>
  <c r="AE95" i="2"/>
  <c r="AE94" i="2"/>
  <c r="AE109" i="2"/>
  <c r="AE137" i="2"/>
  <c r="AN137" i="2"/>
  <c r="AE101" i="2"/>
  <c r="AE91" i="2"/>
  <c r="AE71" i="2"/>
  <c r="AE54" i="2"/>
  <c r="AE106" i="2"/>
  <c r="AE100" i="2"/>
  <c r="AF125" i="2"/>
  <c r="AE66" i="2"/>
  <c r="AE69" i="2"/>
  <c r="AE63" i="2"/>
  <c r="AE5" i="2"/>
  <c r="AE105" i="2"/>
  <c r="AE56" i="2"/>
  <c r="AE8" i="2"/>
  <c r="AE98" i="2"/>
  <c r="AE67" i="2"/>
  <c r="AE129" i="2"/>
  <c r="AE84" i="2"/>
  <c r="AN84" i="2"/>
  <c r="AE49" i="2"/>
  <c r="AE70" i="2"/>
  <c r="AE102" i="2"/>
  <c r="AE134" i="2"/>
  <c r="AE83" i="2"/>
  <c r="AE74" i="2"/>
  <c r="AE64" i="2"/>
  <c r="AE59" i="2"/>
  <c r="AE11" i="2"/>
  <c r="AE23" i="2"/>
  <c r="AE21" i="2"/>
  <c r="AE22" i="2"/>
  <c r="AE16" i="2"/>
  <c r="AE18" i="2"/>
  <c r="AE14" i="2"/>
  <c r="AE12" i="2"/>
  <c r="AE13" i="2"/>
  <c r="AE15" i="2"/>
  <c r="AE31" i="2"/>
  <c r="AE131" i="2"/>
  <c r="AF131" i="2"/>
  <c r="AE125" i="2"/>
  <c r="AF7" i="2"/>
  <c r="AF85" i="2"/>
  <c r="AF5" i="2"/>
  <c r="AA5" i="2"/>
  <c r="AN5" i="2" s="1"/>
  <c r="AA4" i="2"/>
  <c r="AA3" i="2"/>
  <c r="AA6" i="2"/>
  <c r="AA54" i="2"/>
  <c r="AN54" i="2" s="1"/>
  <c r="AA52" i="2"/>
  <c r="AN52" i="2" s="1"/>
  <c r="AA53" i="2"/>
  <c r="AN53" i="2" s="1"/>
  <c r="AA50" i="2"/>
  <c r="AN50" i="2" s="1"/>
  <c r="AA59" i="2"/>
  <c r="AN59" i="2" s="1"/>
  <c r="AA46" i="2"/>
  <c r="AN46" i="2" s="1"/>
  <c r="AA47" i="2"/>
  <c r="AN47" i="2" s="1"/>
  <c r="AA41" i="2"/>
  <c r="AN41" i="2" s="1"/>
  <c r="AA44" i="2"/>
  <c r="AN44" i="2" s="1"/>
  <c r="AA42" i="2"/>
  <c r="AN42" i="2" s="1"/>
  <c r="AA43" i="2"/>
  <c r="AN43" i="2" s="1"/>
  <c r="AA73" i="2"/>
  <c r="AN73" i="2" s="1"/>
  <c r="AA63" i="2"/>
  <c r="AN63" i="2" s="1"/>
  <c r="AA65" i="2"/>
  <c r="AN65" i="2" s="1"/>
  <c r="AA68" i="2"/>
  <c r="AB68" i="2" s="1"/>
  <c r="AA62" i="2"/>
  <c r="AN62" i="2" s="1"/>
  <c r="AA61" i="2"/>
  <c r="AN61" i="2" s="1"/>
  <c r="AA64" i="2"/>
  <c r="AN64" i="2" s="1"/>
  <c r="AA37" i="2"/>
  <c r="AN37" i="2" s="1"/>
  <c r="AA70" i="2"/>
  <c r="AN70" i="2" s="1"/>
  <c r="AA38" i="2"/>
  <c r="AN38" i="2" s="1"/>
  <c r="AA39" i="2"/>
  <c r="AN39" i="2" s="1"/>
  <c r="AA58" i="2"/>
  <c r="AA55" i="2"/>
  <c r="AN55" i="2" s="1"/>
  <c r="AA40" i="2"/>
  <c r="AN40" i="2" s="1"/>
  <c r="AA56" i="2"/>
  <c r="AN56" i="2" s="1"/>
  <c r="AA69" i="2"/>
  <c r="AN69" i="2" s="1"/>
  <c r="AA71" i="2"/>
  <c r="AN71" i="2" s="1"/>
  <c r="AA75" i="2"/>
  <c r="AN75" i="2" s="1"/>
  <c r="AA76" i="2"/>
  <c r="AN76" i="2" s="1"/>
  <c r="AA77" i="2"/>
  <c r="AN77" i="2" s="1"/>
  <c r="AA74" i="2"/>
  <c r="AN74" i="2" s="1"/>
  <c r="AA49" i="2"/>
  <c r="AN49" i="2" s="1"/>
  <c r="AA57" i="2"/>
  <c r="AN57" i="2" s="1"/>
  <c r="AA45" i="2"/>
  <c r="AN45" i="2" s="1"/>
  <c r="AA48" i="2"/>
  <c r="AN48" i="2" s="1"/>
  <c r="AA33" i="2"/>
  <c r="AN33" i="2" s="1"/>
  <c r="AA66" i="2"/>
  <c r="AN66" i="2" s="1"/>
  <c r="AA72" i="2"/>
  <c r="AN72" i="2" s="1"/>
  <c r="AA34" i="2"/>
  <c r="AN34" i="2" s="1"/>
  <c r="AN36" i="2"/>
  <c r="AA35" i="2"/>
  <c r="AN35" i="2" s="1"/>
  <c r="AA83" i="2"/>
  <c r="AN83" i="2" s="1"/>
  <c r="AA78" i="2"/>
  <c r="AN78" i="2" s="1"/>
  <c r="AA80" i="2"/>
  <c r="AN80" i="2" s="1"/>
  <c r="AN81" i="2"/>
  <c r="AN87" i="2"/>
  <c r="AA124" i="2"/>
  <c r="AN124" i="2" s="1"/>
  <c r="AA125" i="2"/>
  <c r="AN125" i="2" s="1"/>
  <c r="AA118" i="2"/>
  <c r="AN118" i="2" s="1"/>
  <c r="AA126" i="2"/>
  <c r="AN126" i="2" s="1"/>
  <c r="AA119" i="2"/>
  <c r="AN119" i="2" s="1"/>
  <c r="AA127" i="2"/>
  <c r="AN127" i="2" s="1"/>
  <c r="AA91" i="2"/>
  <c r="AN91" i="2" s="1"/>
  <c r="AA92" i="2"/>
  <c r="AN92" i="2" s="1"/>
  <c r="AA93" i="2"/>
  <c r="AN93" i="2" s="1"/>
  <c r="AA94" i="2"/>
  <c r="AN94" i="2" s="1"/>
  <c r="AA134" i="2"/>
  <c r="AN134" i="2" s="1"/>
  <c r="AA95" i="2"/>
  <c r="AN95" i="2" s="1"/>
  <c r="AA96" i="2"/>
  <c r="AN96" i="2" s="1"/>
  <c r="AA97" i="2"/>
  <c r="AN97" i="2" s="1"/>
  <c r="AA116" i="2"/>
  <c r="AN116" i="2" s="1"/>
  <c r="AA98" i="2"/>
  <c r="AN98" i="2" s="1"/>
  <c r="AA99" i="2"/>
  <c r="AN99" i="2" s="1"/>
  <c r="AA120" i="2"/>
  <c r="AN120" i="2" s="1"/>
  <c r="AA121" i="2"/>
  <c r="AN121" i="2" s="1"/>
  <c r="AA100" i="2"/>
  <c r="AN100" i="2" s="1"/>
  <c r="AA101" i="2"/>
  <c r="AN101" i="2" s="1"/>
  <c r="AA110" i="2"/>
  <c r="AN110" i="2" s="1"/>
  <c r="AA112" i="2"/>
  <c r="AN112" i="2" s="1"/>
  <c r="AA113" i="2"/>
  <c r="AN113" i="2" s="1"/>
  <c r="AA102" i="2"/>
  <c r="AN102" i="2" s="1"/>
  <c r="AA128" i="2"/>
  <c r="AN128" i="2" s="1"/>
  <c r="AA129" i="2"/>
  <c r="AN129" i="2" s="1"/>
  <c r="AA103" i="2"/>
  <c r="AN103" i="2" s="1"/>
  <c r="AA130" i="2"/>
  <c r="AN130" i="2" s="1"/>
  <c r="AA122" i="2"/>
  <c r="AN122" i="2" s="1"/>
  <c r="AN89" i="2"/>
  <c r="AA123" i="2"/>
  <c r="AN123" i="2" s="1"/>
  <c r="AA138" i="2"/>
  <c r="AN138" i="2" s="1"/>
  <c r="AA104" i="2"/>
  <c r="AN104" i="2" s="1"/>
  <c r="AA131" i="2"/>
  <c r="AN131" i="2" s="1"/>
  <c r="AA105" i="2"/>
  <c r="AN105" i="2" s="1"/>
  <c r="AA106" i="2"/>
  <c r="AN106" i="2" s="1"/>
  <c r="AA132" i="2"/>
  <c r="AA88" i="2"/>
  <c r="AN88" i="2" s="1"/>
  <c r="AA86" i="2"/>
  <c r="AN86" i="2" s="1"/>
  <c r="AA107" i="2"/>
  <c r="AN107" i="2" s="1"/>
  <c r="AA136" i="2"/>
  <c r="AN136" i="2" s="1"/>
  <c r="AA109" i="2"/>
  <c r="AN109" i="2" s="1"/>
  <c r="AA90" i="2"/>
  <c r="AN90" i="2" s="1"/>
  <c r="AA115" i="2"/>
  <c r="AA117" i="2"/>
  <c r="AN117" i="2" s="1"/>
  <c r="AA135" i="2"/>
  <c r="AN135" i="2" s="1"/>
  <c r="AA67" i="2"/>
  <c r="AB67" i="2" s="1"/>
  <c r="AA85" i="2"/>
  <c r="AF124" i="2"/>
  <c r="X67" i="2"/>
  <c r="AF67" i="2" s="1"/>
  <c r="X135" i="2"/>
  <c r="AF135" i="2" s="1"/>
  <c r="X117" i="2"/>
  <c r="AF117" i="2" s="1"/>
  <c r="X115" i="2"/>
  <c r="AF90" i="2"/>
  <c r="X109" i="2"/>
  <c r="AF109" i="2" s="1"/>
  <c r="X137" i="2"/>
  <c r="AF137" i="2" s="1"/>
  <c r="X136" i="2"/>
  <c r="AF136" i="2" s="1"/>
  <c r="X107" i="2"/>
  <c r="AF107" i="2" s="1"/>
  <c r="X86" i="2"/>
  <c r="AF86" i="2" s="1"/>
  <c r="X88" i="2"/>
  <c r="AF88" i="2" s="1"/>
  <c r="X132" i="2"/>
  <c r="X106" i="2"/>
  <c r="AF106" i="2" s="1"/>
  <c r="X105" i="2"/>
  <c r="AF105" i="2" s="1"/>
  <c r="X104" i="2"/>
  <c r="AF104" i="2" s="1"/>
  <c r="X138" i="2"/>
  <c r="AF138" i="2" s="1"/>
  <c r="X123" i="2"/>
  <c r="X89" i="2"/>
  <c r="AF89" i="2" s="1"/>
  <c r="X122" i="2"/>
  <c r="AF122" i="2" s="1"/>
  <c r="X130" i="2"/>
  <c r="AF130" i="2" s="1"/>
  <c r="X103" i="2"/>
  <c r="AF103" i="2" s="1"/>
  <c r="X129" i="2"/>
  <c r="AF129" i="2" s="1"/>
  <c r="X128" i="2"/>
  <c r="AF128" i="2" s="1"/>
  <c r="X102" i="2"/>
  <c r="AF102" i="2" s="1"/>
  <c r="X113" i="2"/>
  <c r="AF113" i="2" s="1"/>
  <c r="X112" i="2"/>
  <c r="AF112" i="2" s="1"/>
  <c r="X110" i="2"/>
  <c r="AF110" i="2" s="1"/>
  <c r="X101" i="2"/>
  <c r="AF101" i="2" s="1"/>
  <c r="X100" i="2"/>
  <c r="AF100" i="2" s="1"/>
  <c r="X121" i="2"/>
  <c r="AF121" i="2" s="1"/>
  <c r="X120" i="2"/>
  <c r="AF120" i="2" s="1"/>
  <c r="X99" i="2"/>
  <c r="AF99" i="2" s="1"/>
  <c r="X98" i="2"/>
  <c r="AF98" i="2" s="1"/>
  <c r="X116" i="2"/>
  <c r="AF116" i="2" s="1"/>
  <c r="X97" i="2"/>
  <c r="AF97" i="2" s="1"/>
  <c r="X96" i="2"/>
  <c r="AF96" i="2" s="1"/>
  <c r="X95" i="2"/>
  <c r="AF95" i="2" s="1"/>
  <c r="X134" i="2"/>
  <c r="AF134" i="2" s="1"/>
  <c r="X94" i="2"/>
  <c r="AF94" i="2" s="1"/>
  <c r="X93" i="2"/>
  <c r="AF93" i="2" s="1"/>
  <c r="X92" i="2"/>
  <c r="AF92" i="2" s="1"/>
  <c r="X91" i="2"/>
  <c r="AF91" i="2" s="1"/>
  <c r="X127" i="2"/>
  <c r="AF127" i="2" s="1"/>
  <c r="X119" i="2"/>
  <c r="AF119" i="2" s="1"/>
  <c r="X126" i="2"/>
  <c r="AF126" i="2" s="1"/>
  <c r="X118" i="2"/>
  <c r="AF118" i="2" s="1"/>
  <c r="X87" i="2"/>
  <c r="AF87" i="2" s="1"/>
  <c r="X81" i="2"/>
  <c r="AF81" i="2" s="1"/>
  <c r="X80" i="2"/>
  <c r="AF80" i="2" s="1"/>
  <c r="X79" i="2"/>
  <c r="AF79" i="2" s="1"/>
  <c r="X84" i="2"/>
  <c r="AF84" i="2" s="1"/>
  <c r="X83" i="2"/>
  <c r="AF83" i="2" s="1"/>
  <c r="AF82" i="2"/>
  <c r="X35" i="2"/>
  <c r="AF35" i="2" s="1"/>
  <c r="X36" i="2"/>
  <c r="AF36" i="2" s="1"/>
  <c r="X34" i="2"/>
  <c r="AF34" i="2" s="1"/>
  <c r="X72" i="2"/>
  <c r="AF72" i="2" s="1"/>
  <c r="X66" i="2"/>
  <c r="AF66" i="2" s="1"/>
  <c r="X33" i="2"/>
  <c r="AF33" i="2" s="1"/>
  <c r="X48" i="2"/>
  <c r="AF48" i="2" s="1"/>
  <c r="X60" i="2"/>
  <c r="AF60" i="2" s="1"/>
  <c r="X45" i="2"/>
  <c r="AF45" i="2" s="1"/>
  <c r="X57" i="2"/>
  <c r="AF57" i="2" s="1"/>
  <c r="AF49" i="2"/>
  <c r="X74" i="2"/>
  <c r="AF74" i="2" s="1"/>
  <c r="X77" i="2"/>
  <c r="AF77" i="2" s="1"/>
  <c r="X76" i="2"/>
  <c r="AF76" i="2" s="1"/>
  <c r="X75" i="2"/>
  <c r="AF75" i="2" s="1"/>
  <c r="X71" i="2"/>
  <c r="AF71" i="2" s="1"/>
  <c r="X69" i="2"/>
  <c r="AF69" i="2" s="1"/>
  <c r="X56" i="2"/>
  <c r="AF56" i="2" s="1"/>
  <c r="X40" i="2"/>
  <c r="X55" i="2"/>
  <c r="AF55" i="2" s="1"/>
  <c r="X58" i="2"/>
  <c r="AF58" i="2" s="1"/>
  <c r="X39" i="2"/>
  <c r="AF39" i="2" s="1"/>
  <c r="X38" i="2"/>
  <c r="AF38" i="2" s="1"/>
  <c r="X70" i="2"/>
  <c r="AF70" i="2" s="1"/>
  <c r="X37" i="2"/>
  <c r="AF37" i="2" s="1"/>
  <c r="X64" i="2"/>
  <c r="AF64" i="2" s="1"/>
  <c r="X61" i="2"/>
  <c r="AF61" i="2" s="1"/>
  <c r="X62" i="2"/>
  <c r="AF62" i="2" s="1"/>
  <c r="X68" i="2"/>
  <c r="AF68" i="2" s="1"/>
  <c r="X65" i="2"/>
  <c r="AF65" i="2" s="1"/>
  <c r="X63" i="2"/>
  <c r="AF63" i="2" s="1"/>
  <c r="X73" i="2"/>
  <c r="AF73" i="2" s="1"/>
  <c r="X43" i="2"/>
  <c r="AF43" i="2" s="1"/>
  <c r="X42" i="2"/>
  <c r="AF42" i="2" s="1"/>
  <c r="X44" i="2"/>
  <c r="AF44" i="2" s="1"/>
  <c r="X41" i="2"/>
  <c r="AF41" i="2" s="1"/>
  <c r="AF47" i="2"/>
  <c r="X51" i="2"/>
  <c r="AF51" i="2" s="1"/>
  <c r="X46" i="2"/>
  <c r="AF46" i="2" s="1"/>
  <c r="X59" i="2"/>
  <c r="AF59" i="2" s="1"/>
  <c r="X50" i="2"/>
  <c r="AF50" i="2" s="1"/>
  <c r="X53" i="2"/>
  <c r="AF53" i="2" s="1"/>
  <c r="X52" i="2"/>
  <c r="AF52" i="2" s="1"/>
  <c r="X54" i="2"/>
  <c r="AF54" i="2" s="1"/>
  <c r="X32" i="2"/>
  <c r="X21" i="2"/>
  <c r="X30" i="2"/>
  <c r="X20" i="2"/>
  <c r="X29" i="2"/>
  <c r="X14" i="2"/>
  <c r="X28" i="2"/>
  <c r="X22" i="2"/>
  <c r="X27" i="2"/>
  <c r="AF27" i="2" s="1"/>
  <c r="X11" i="2"/>
  <c r="X25" i="2"/>
  <c r="AA25" i="2" s="1"/>
  <c r="AN25" i="2" s="1"/>
  <c r="X24" i="2"/>
  <c r="X18" i="2"/>
  <c r="X10" i="2"/>
  <c r="AF10" i="2" s="1"/>
  <c r="X9" i="2"/>
  <c r="X16" i="2"/>
  <c r="X12" i="2"/>
  <c r="X15" i="2"/>
  <c r="X31" i="2"/>
  <c r="AF31" i="2" s="1"/>
  <c r="X26" i="2"/>
  <c r="AA26" i="2" s="1"/>
  <c r="AN26" i="2" s="1"/>
  <c r="X19" i="2"/>
  <c r="AA19" i="2" s="1"/>
  <c r="AN19" i="2" s="1"/>
  <c r="X23" i="2"/>
  <c r="X6" i="2"/>
  <c r="X3" i="2"/>
  <c r="X4" i="2"/>
  <c r="AF25" i="2" l="1"/>
  <c r="AF26" i="2"/>
  <c r="AO121" i="2"/>
  <c r="AN58" i="2"/>
  <c r="AB58" i="2"/>
  <c r="AN85" i="2"/>
  <c r="AB85" i="2"/>
  <c r="AN68" i="2"/>
  <c r="AN67" i="2"/>
  <c r="AA10" i="2"/>
  <c r="AN10" i="2" s="1"/>
  <c r="AF24" i="2"/>
  <c r="AA24" i="2"/>
  <c r="AN24" i="2" s="1"/>
  <c r="AF29" i="2"/>
  <c r="AA29" i="2"/>
  <c r="AN29" i="2" s="1"/>
  <c r="AF15" i="2"/>
  <c r="AN15" i="2"/>
  <c r="AF12" i="2"/>
  <c r="AA12" i="2"/>
  <c r="AN12" i="2" s="1"/>
  <c r="AA27" i="2"/>
  <c r="AN27" i="2" s="1"/>
  <c r="AF21" i="2"/>
  <c r="AA21" i="2"/>
  <c r="AN21" i="2" s="1"/>
  <c r="AA20" i="2"/>
  <c r="AN20" i="2" s="1"/>
  <c r="AF11" i="2"/>
  <c r="AA11" i="2"/>
  <c r="AN11" i="2" s="1"/>
  <c r="AF16" i="2"/>
  <c r="AA16" i="2"/>
  <c r="AN16" i="2" s="1"/>
  <c r="AF22" i="2"/>
  <c r="AA22" i="2"/>
  <c r="AN22" i="2" s="1"/>
  <c r="AF32" i="2"/>
  <c r="AA32" i="2"/>
  <c r="AN32" i="2" s="1"/>
  <c r="AA31" i="2"/>
  <c r="AF30" i="2"/>
  <c r="AA30" i="2"/>
  <c r="AN30" i="2" s="1"/>
  <c r="AF9" i="2"/>
  <c r="AA9" i="2"/>
  <c r="AN9" i="2" s="1"/>
  <c r="AF28" i="2"/>
  <c r="AA28" i="2"/>
  <c r="AN28" i="2" s="1"/>
  <c r="AF23" i="2"/>
  <c r="AF13" i="2"/>
  <c r="AA13" i="2"/>
  <c r="AN13" i="2" s="1"/>
  <c r="AF18" i="2"/>
  <c r="AA18" i="2"/>
  <c r="AN18" i="2" s="1"/>
  <c r="AF14" i="2"/>
  <c r="AA14" i="2"/>
  <c r="AN14" i="2" s="1"/>
  <c r="AB7" i="2"/>
  <c r="AN31" i="2" l="1"/>
  <c r="AB31" i="2"/>
  <c r="AA23" i="2"/>
  <c r="AN23" i="2" s="1"/>
  <c r="AD6" i="2"/>
  <c r="AN6" i="2" s="1"/>
  <c r="AD3" i="2"/>
  <c r="AD4" i="2"/>
  <c r="AE4" i="2" l="1"/>
  <c r="AN4" i="2"/>
  <c r="AE3" i="2"/>
  <c r="AN3" i="2"/>
  <c r="AF3" i="2"/>
  <c r="AF6" i="2"/>
  <c r="AE6" i="2"/>
  <c r="AF4" i="2"/>
  <c r="O40" i="2"/>
  <c r="AE40" i="2" l="1"/>
  <c r="O139" i="2"/>
  <c r="AF40" i="2"/>
  <c r="G85" i="2"/>
  <c r="H85" i="2" s="1"/>
  <c r="AD115" i="2"/>
  <c r="AN115" i="2" s="1"/>
  <c r="AD132" i="2"/>
  <c r="AN132" i="2" l="1"/>
  <c r="AD139" i="2"/>
  <c r="AF115" i="2"/>
  <c r="AE115" i="2"/>
  <c r="AF132" i="2"/>
  <c r="AE132" i="2"/>
  <c r="AF123" i="2"/>
  <c r="AE139" i="2" l="1"/>
  <c r="G46" i="2"/>
  <c r="X78" i="2" l="1"/>
  <c r="AF78" i="2" s="1"/>
  <c r="AB51" i="2"/>
  <c r="AB126" i="2"/>
  <c r="AB127" i="2"/>
  <c r="AB135" i="2"/>
  <c r="AB134" i="2"/>
  <c r="AB124" i="2"/>
  <c r="AB125" i="2"/>
  <c r="AB119" i="2"/>
  <c r="AB94" i="2"/>
  <c r="AB96" i="2"/>
  <c r="AB97" i="2"/>
  <c r="AB99" i="2"/>
  <c r="AB120" i="2"/>
  <c r="AB129" i="2"/>
  <c r="AB121" i="2"/>
  <c r="AB101" i="2"/>
  <c r="AB102" i="2"/>
  <c r="AB128" i="2"/>
  <c r="AB103" i="2"/>
  <c r="AB89" i="2"/>
  <c r="AB123" i="2"/>
  <c r="AB107" i="2"/>
  <c r="AB105" i="2"/>
  <c r="AB88" i="2"/>
  <c r="AB86" i="2"/>
  <c r="AB137" i="2"/>
  <c r="AB109" i="2"/>
  <c r="AB90" i="2"/>
  <c r="AB117" i="2"/>
  <c r="G8" i="2" l="1"/>
  <c r="H8" i="2" s="1"/>
  <c r="G5" i="2"/>
  <c r="G4" i="2"/>
  <c r="G3" i="2"/>
  <c r="G6" i="2"/>
  <c r="G23" i="2"/>
  <c r="G19" i="2"/>
  <c r="G26" i="2"/>
  <c r="H26" i="2" s="1"/>
  <c r="G31" i="2"/>
  <c r="H31" i="2" s="1"/>
  <c r="G15" i="2"/>
  <c r="G12" i="2"/>
  <c r="G16" i="2"/>
  <c r="G9" i="2"/>
  <c r="H9" i="2" s="1"/>
  <c r="G10" i="2"/>
  <c r="H10" i="2" s="1"/>
  <c r="G18" i="2"/>
  <c r="G24" i="2"/>
  <c r="H24" i="2" s="1"/>
  <c r="G25" i="2"/>
  <c r="H25" i="2" s="1"/>
  <c r="G11" i="2"/>
  <c r="G27" i="2"/>
  <c r="H27" i="2" s="1"/>
  <c r="G22" i="2"/>
  <c r="G28" i="2"/>
  <c r="G13" i="2"/>
  <c r="G14" i="2"/>
  <c r="G29" i="2"/>
  <c r="G20" i="2"/>
  <c r="H20" i="2" s="1"/>
  <c r="G30" i="2"/>
  <c r="H30" i="2" s="1"/>
  <c r="G21" i="2"/>
  <c r="G32" i="2"/>
  <c r="G54" i="2"/>
  <c r="G52" i="2"/>
  <c r="G53" i="2"/>
  <c r="G50" i="2"/>
  <c r="G59" i="2"/>
  <c r="G51" i="2"/>
  <c r="H51" i="2" s="1"/>
  <c r="G41" i="2"/>
  <c r="G44" i="2"/>
  <c r="G47" i="2"/>
  <c r="G42" i="2"/>
  <c r="G43" i="2"/>
  <c r="H43" i="2" s="1"/>
  <c r="G73" i="2"/>
  <c r="H73" i="2" s="1"/>
  <c r="G63" i="2"/>
  <c r="H63" i="2" s="1"/>
  <c r="G65" i="2"/>
  <c r="H65" i="2" s="1"/>
  <c r="G68" i="2"/>
  <c r="H68" i="2" s="1"/>
  <c r="G62" i="2"/>
  <c r="H62" i="2" s="1"/>
  <c r="G61" i="2"/>
  <c r="G64" i="2"/>
  <c r="H64" i="2" s="1"/>
  <c r="G37" i="2"/>
  <c r="G70" i="2"/>
  <c r="G38" i="2"/>
  <c r="G39" i="2"/>
  <c r="G58" i="2"/>
  <c r="H58" i="2" s="1"/>
  <c r="G55" i="2"/>
  <c r="H55" i="2" s="1"/>
  <c r="G40" i="2"/>
  <c r="G56" i="2"/>
  <c r="H56" i="2" s="1"/>
  <c r="G69" i="2"/>
  <c r="H69" i="2" s="1"/>
  <c r="G71" i="2"/>
  <c r="H71" i="2" s="1"/>
  <c r="G75" i="2"/>
  <c r="H75" i="2" s="1"/>
  <c r="G76" i="2"/>
  <c r="H76" i="2" s="1"/>
  <c r="G77" i="2"/>
  <c r="H77" i="2" s="1"/>
  <c r="G74" i="2"/>
  <c r="G48" i="2"/>
  <c r="H48" i="2" s="1"/>
  <c r="G57" i="2"/>
  <c r="G45" i="2"/>
  <c r="G60" i="2"/>
  <c r="H60" i="2" s="1"/>
  <c r="G49" i="2"/>
  <c r="G33" i="2"/>
  <c r="H33" i="2" s="1"/>
  <c r="G66" i="2"/>
  <c r="H66" i="2" s="1"/>
  <c r="G72" i="2"/>
  <c r="H72" i="2" s="1"/>
  <c r="G34" i="2"/>
  <c r="H34" i="2" s="1"/>
  <c r="G36" i="2"/>
  <c r="H36" i="2" s="1"/>
  <c r="G35" i="2"/>
  <c r="H35" i="2" s="1"/>
  <c r="G82" i="2"/>
  <c r="G83" i="2"/>
  <c r="H83" i="2" s="1"/>
  <c r="G84" i="2"/>
  <c r="G78" i="2"/>
  <c r="G79" i="2"/>
  <c r="H79" i="2" s="1"/>
  <c r="G80" i="2"/>
  <c r="H80" i="2" s="1"/>
  <c r="G81" i="2"/>
  <c r="G87" i="2"/>
  <c r="G91" i="2"/>
  <c r="G92" i="2"/>
  <c r="G93" i="2"/>
  <c r="G95" i="2"/>
  <c r="H95" i="2" s="1"/>
  <c r="G116" i="2"/>
  <c r="G98" i="2"/>
  <c r="H98" i="2" s="1"/>
  <c r="G100" i="2"/>
  <c r="H100" i="2" s="1"/>
  <c r="G110" i="2"/>
  <c r="G112" i="2"/>
  <c r="H112" i="2" s="1"/>
  <c r="G113" i="2"/>
  <c r="H113" i="2" s="1"/>
  <c r="G130" i="2"/>
  <c r="G122" i="2"/>
  <c r="G138" i="2"/>
  <c r="G104" i="2"/>
  <c r="H104" i="2" s="1"/>
  <c r="G131" i="2"/>
  <c r="G106" i="2"/>
  <c r="G132" i="2"/>
  <c r="G136" i="2"/>
  <c r="G115" i="2"/>
  <c r="H115" i="2" s="1"/>
  <c r="G118" i="2"/>
  <c r="G126" i="2"/>
  <c r="G127" i="2"/>
  <c r="G135" i="2"/>
  <c r="G134" i="2"/>
  <c r="G125" i="2"/>
  <c r="H125" i="2" s="1"/>
  <c r="G119" i="2"/>
  <c r="G94" i="2"/>
  <c r="G96" i="2"/>
  <c r="G97" i="2"/>
  <c r="G99" i="2"/>
  <c r="G120" i="2"/>
  <c r="G129" i="2"/>
  <c r="G121" i="2"/>
  <c r="G101" i="2"/>
  <c r="H101" i="2" s="1"/>
  <c r="G102" i="2"/>
  <c r="G128" i="2"/>
  <c r="G103" i="2"/>
  <c r="H103" i="2" s="1"/>
  <c r="G89" i="2"/>
  <c r="G123" i="2"/>
  <c r="G107" i="2"/>
  <c r="G105" i="2"/>
  <c r="G88" i="2"/>
  <c r="G86" i="2"/>
  <c r="G137" i="2"/>
  <c r="G109" i="2"/>
  <c r="G90" i="2"/>
  <c r="H90" i="2" s="1"/>
  <c r="G117" i="2"/>
  <c r="H139" i="2" l="1"/>
  <c r="AB83" i="2"/>
  <c r="AB84" i="2"/>
  <c r="AB82" i="2"/>
  <c r="AB19" i="2" l="1"/>
  <c r="AB23" i="2"/>
  <c r="AB26" i="2"/>
  <c r="AB15" i="2"/>
  <c r="AB12" i="2"/>
  <c r="AB16" i="2"/>
  <c r="AB9" i="2"/>
  <c r="AB10" i="2"/>
  <c r="AB18" i="2"/>
  <c r="AB24" i="2"/>
  <c r="AB25" i="2"/>
  <c r="AB11" i="2"/>
  <c r="AB27" i="2"/>
  <c r="AB22" i="2"/>
  <c r="AB28" i="2"/>
  <c r="AB13" i="2"/>
  <c r="AB14" i="2"/>
  <c r="AB29" i="2"/>
  <c r="AB20" i="2"/>
  <c r="AB30" i="2"/>
  <c r="AB21" i="2"/>
  <c r="AB32" i="2"/>
  <c r="AB87" i="2"/>
  <c r="AB91" i="2"/>
  <c r="AB5" i="2" l="1"/>
  <c r="AB130" i="2"/>
  <c r="AB138" i="2"/>
  <c r="AB92" i="2"/>
  <c r="AB93" i="2"/>
  <c r="AB95" i="2"/>
  <c r="AB116" i="2"/>
  <c r="AB98" i="2"/>
  <c r="AB100" i="2"/>
  <c r="AB110" i="2"/>
  <c r="AB112" i="2"/>
  <c r="AB113" i="2"/>
  <c r="AB122" i="2"/>
  <c r="AB104" i="2"/>
  <c r="AB131" i="2"/>
  <c r="AB106" i="2"/>
  <c r="AB132" i="2"/>
  <c r="AB136" i="2"/>
  <c r="AB115" i="2"/>
  <c r="AB118" i="2"/>
  <c r="AB78" i="2"/>
  <c r="AB79" i="2"/>
  <c r="AB80" i="2"/>
  <c r="AB81" i="2"/>
  <c r="AB54" i="2"/>
  <c r="AB52" i="2"/>
  <c r="AB50" i="2"/>
  <c r="AB59" i="2"/>
  <c r="AB46" i="2"/>
  <c r="AB41" i="2"/>
  <c r="AB44" i="2"/>
  <c r="AB47" i="2"/>
  <c r="AB42" i="2"/>
  <c r="AB43" i="2"/>
  <c r="AB73" i="2"/>
  <c r="AB63" i="2"/>
  <c r="AB65" i="2"/>
  <c r="AB62" i="2"/>
  <c r="AB61" i="2"/>
  <c r="AB64" i="2"/>
  <c r="AB37" i="2"/>
  <c r="AB70" i="2"/>
  <c r="AB38" i="2"/>
  <c r="AB55" i="2"/>
  <c r="AB56" i="2"/>
  <c r="AB69" i="2"/>
  <c r="AB71" i="2"/>
  <c r="AB75" i="2"/>
  <c r="AB76" i="2"/>
  <c r="AB77" i="2"/>
  <c r="AB74" i="2"/>
  <c r="AB48" i="2"/>
  <c r="AB45" i="2"/>
  <c r="AB49" i="2"/>
  <c r="AB33" i="2"/>
  <c r="AB66" i="2"/>
  <c r="AB72" i="2"/>
  <c r="AB34" i="2"/>
  <c r="AB36" i="2"/>
  <c r="AB35" i="2"/>
  <c r="AB39" i="2" l="1"/>
  <c r="AB40" i="2"/>
  <c r="AB57" i="2"/>
  <c r="AB53" i="2"/>
  <c r="AB3" i="2"/>
  <c r="AB6" i="2"/>
  <c r="AB4" i="2"/>
  <c r="AA139" i="2" l="1"/>
  <c r="AB139" i="2" s="1"/>
  <c r="AN8" i="2" l="1"/>
  <c r="AN139" i="2" s="1"/>
  <c r="AB8" i="2"/>
  <c r="AF139" i="2" l="1"/>
  <c r="X1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Sophia Allec</author>
    <author>tc={9FF7749B-EC37-4A4B-A3AC-A3F7367441A7}</author>
    <author>tc={2D8816CC-793A-45BF-9229-A00EF7976835}</author>
    <author>tc={37BE7CCA-E6C7-40BA-AE1B-AF8E53205A9C}</author>
    <author>tc={D1C1E6D7-609A-4570-9FFC-1E5F95DA6A8C}</author>
    <author>tc={30A05FF9-F2EF-49F9-B190-D8E0D77D7493}</author>
    <author>tc={4A2BDA52-3795-4DC2-A6E8-FD73C88424B2}</author>
    <author>tc={6E78CFAC-87D5-4469-BADE-BB2A86BB9928}</author>
    <author>tc={7D33CBE7-7F2E-415D-9C63-76FE2D5C4919}</author>
    <author>tc={116C981D-6B87-4606-98D1-FA3937EA0DD2}</author>
    <author>tc={5D213868-0F08-433F-9239-F79CE402A8DB}</author>
    <author>tc={505E4241-E69D-49DA-A53C-6A3396E68B7F}</author>
    <author>tc={E45C1079-783F-48B9-9E08-BF844F0AF8FC}</author>
  </authors>
  <commentList>
    <comment ref="M2" authorId="0" shapeId="0" xr:uid="{ED545A62-380D-4007-9919-7541F551D06F}">
      <text>
        <r>
          <rPr>
            <b/>
            <sz val="9"/>
            <color indexed="81"/>
            <rFont val="Tahoma"/>
            <family val="2"/>
          </rPr>
          <t>Sophia Allec:</t>
        </r>
        <r>
          <rPr>
            <sz val="9"/>
            <color indexed="81"/>
            <rFont val="Tahoma"/>
            <family val="2"/>
          </rPr>
          <t xml:space="preserve">
Either original NOA amount or revised NOA amount.</t>
        </r>
      </text>
    </comment>
    <comment ref="AC3" authorId="1" shapeId="0" xr:uid="{9FF7749B-EC37-4A4B-A3AC-A3F7367441A7}">
      <text>
        <t>[Threaded comment]
Your version of Excel allows you to read this threaded comment; however, any edits to it will get removed if the file is opened in a newer version of Excel. Learn more: https://go.microsoft.com/fwlink/?linkid=870924
Comment:
    GFO approved de-obligation of $420.30 on 9/20/23 for SFY23</t>
      </text>
    </comment>
    <comment ref="J5" authorId="0" shapeId="0" xr:uid="{077CB6AE-3300-492F-A3A0-36D31F2243E1}">
      <text>
        <r>
          <rPr>
            <b/>
            <sz val="9"/>
            <color indexed="81"/>
            <rFont val="Tahoma"/>
            <family val="2"/>
          </rPr>
          <t>Sophia Allec:</t>
        </r>
        <r>
          <rPr>
            <sz val="9"/>
            <color indexed="81"/>
            <rFont val="Tahoma"/>
            <family val="2"/>
          </rPr>
          <t xml:space="preserve">
Amended to correct the project dates only.</t>
        </r>
      </text>
    </comment>
    <comment ref="AC6" authorId="2" shapeId="0" xr:uid="{2D8816CC-793A-45BF-9229-A00EF7976835}">
      <text>
        <t>[Threaded comment]
Your version of Excel allows you to read this threaded comment; however, any edits to it will get removed if the file is opened in a newer version of Excel. Learn more: https://go.microsoft.com/fwlink/?linkid=870924
Comment:
    GFO Approved De-obligation of $529 9/30/23 for SFY23</t>
      </text>
    </comment>
    <comment ref="AC7" authorId="3" shapeId="0" xr:uid="{37BE7CCA-E6C7-40BA-AE1B-AF8E53205A9C}">
      <text>
        <t>[Threaded comment]
Your version of Excel allows you to read this threaded comment; however, any edits to it will get removed if the file is opened in a newer version of Excel. Learn more: https://go.microsoft.com/fwlink/?linkid=870924
Comment:
    Work Program #24FRF31951 was submitted in SFY24 to de-obligate $620,664 in authority due to $620,663.74 in Prior Year Expenditures (SFY23)</t>
      </text>
    </comment>
    <comment ref="J8" authorId="0" shapeId="0" xr:uid="{CB92161D-2216-4FD9-A2C5-881168EAEB31}">
      <text>
        <r>
          <rPr>
            <b/>
            <sz val="9"/>
            <color indexed="81"/>
            <rFont val="Tahoma"/>
            <family val="2"/>
          </rPr>
          <t>Sophia Allec:</t>
        </r>
        <r>
          <rPr>
            <sz val="9"/>
            <color indexed="81"/>
            <rFont val="Tahoma"/>
            <family val="2"/>
          </rPr>
          <t xml:space="preserve">
One change request submitted to realign award amount between expenditure categories for a net zero change. </t>
        </r>
      </text>
    </comment>
    <comment ref="AC8" authorId="4" shapeId="0" xr:uid="{D1C1E6D7-609A-4570-9FFC-1E5F95DA6A8C}">
      <text>
        <t>[Threaded comment]
Your version of Excel allows you to read this threaded comment; however, any edits to it will get removed if the file is opened in a newer version of Excel. Learn more: https://go.microsoft.com/fwlink/?linkid=870924
Comment:
    SFY24 L01 budget only includes $324,450 in authority</t>
      </text>
    </comment>
    <comment ref="B46" authorId="0" shapeId="0" xr:uid="{F2BF7715-B72B-433C-BCAD-8791542CFC31}">
      <text>
        <r>
          <rPr>
            <sz val="11"/>
            <color theme="1"/>
            <rFont val="Calibri"/>
            <family val="2"/>
            <scheme val="minor"/>
          </rPr>
          <t>Sophia Allec:
Can program please verify this? In September the report said the subgrant did not move forward, in Jan 2024, the subgrant tab stated the work was never started, but the agency project tab shows this amount fully spent down.  Was this project spent down or was it deobligated?
Sophia, this was Fully De-Obligated</t>
        </r>
      </text>
    </comment>
    <comment ref="F60" authorId="5" shapeId="0" xr:uid="{30A05FF9-F2EF-49F9-B190-D8E0D77D7493}">
      <text>
        <t>[Threaded comment]
Your version of Excel allows you to read this threaded comment; however, any edits to it will get removed if the file is opened in a newer version of Excel. Learn more: https://go.microsoft.com/fwlink/?linkid=870924
Comment:
    GFO extended to 10/31/2026</t>
      </text>
    </comment>
    <comment ref="AC86" authorId="6" shapeId="0" xr:uid="{4A2BDA52-3795-4DC2-A6E8-FD73C88424B2}">
      <text>
        <t>[Threaded comment]
Your version of Excel allows you to read this threaded comment; however, any edits to it will get removed if the file is opened in a newer version of Excel. Learn more: https://go.microsoft.com/fwlink/?linkid=870924
Comment:
    Remaining balance of $37,462 was de-obligated by GFO on 10/10/23. No work program completed.</t>
      </text>
    </comment>
    <comment ref="AC88" authorId="7" shapeId="0" xr:uid="{6E78CFAC-87D5-4469-BADE-BB2A86BB9928}">
      <text>
        <t>[Threaded comment]
Your version of Excel allows you to read this threaded comment; however, any edits to it will get removed if the file is opened in a newer version of Excel. Learn more: https://go.microsoft.com/fwlink/?linkid=870924
Comment:
    Remaining balance of $200,228 was de-obligated by GFO on 10/10/23. No work program completed.</t>
      </text>
    </comment>
    <comment ref="AC89" authorId="8" shapeId="0" xr:uid="{7D33CBE7-7F2E-415D-9C63-76FE2D5C4919}">
      <text>
        <t>[Threaded comment]
Your version of Excel allows you to read this threaded comment; however, any edits to it will get removed if the file is opened in a newer version of Excel. Learn more: https://go.microsoft.com/fwlink/?linkid=870924
Comment:
    Remaining balance of $48,000 was de-obligated by GFO on 11/03/23. No work program completed.</t>
      </text>
    </comment>
    <comment ref="AC107" authorId="9" shapeId="0" xr:uid="{116C981D-6B87-4606-98D1-FA3937EA0DD2}">
      <text>
        <t xml:space="preserve">[Threaded comment]
Your version of Excel allows you to read this threaded comment; however, any edits to it will get removed if the file is opened in a newer version of Excel. Learn more: https://go.microsoft.com/fwlink/?linkid=870924
Comment:
    De-obligation approved by GFO on 7/14/23. No work program completed. </t>
      </text>
    </comment>
    <comment ref="AC118" authorId="10" shapeId="0" xr:uid="{5D213868-0F08-433F-9239-F79CE402A8DB}">
      <text>
        <t>[Threaded comment]
Your version of Excel allows you to read this threaded comment; however, any edits to it will get removed if the file is opened in a newer version of Excel. Learn more: https://go.microsoft.com/fwlink/?linkid=870924
Comment:
    Remaining balance from SFY22 of $232,558.65 was de-obligated by GFO on 07/14/23. No work program completed.</t>
      </text>
    </comment>
    <comment ref="AC126" authorId="11" shapeId="0" xr:uid="{505E4241-E69D-49DA-A53C-6A3396E68B7F}">
      <text>
        <t>[Threaded comment]
Your version of Excel allows you to read this threaded comment; however, any edits to it will get removed if the file is opened in a newer version of Excel. Learn more: https://go.microsoft.com/fwlink/?linkid=870924
Comment:
    Remaining balance from SFY22 of $237,066.34 was de-obligated by GFO on 07/14/23. No work program completed.</t>
      </text>
    </comment>
    <comment ref="AC127" authorId="12" shapeId="0" xr:uid="{E45C1079-783F-48B9-9E08-BF844F0AF8FC}">
      <text>
        <t>[Threaded comment]
Your version of Excel allows you to read this threaded comment; however, any edits to it will get removed if the file is opened in a newer version of Excel. Learn more: https://go.microsoft.com/fwlink/?linkid=870924
Comment:
    Remaining balance of $3,101.92 was de-obligated by GFO on 7/14/23. No work program completed.</t>
      </text>
    </comment>
  </commentList>
</comments>
</file>

<file path=xl/sharedStrings.xml><?xml version="1.0" encoding="utf-8"?>
<sst xmlns="http://schemas.openxmlformats.org/spreadsheetml/2006/main" count="2556" uniqueCount="1065">
  <si>
    <t>List</t>
  </si>
  <si>
    <t>List 2</t>
  </si>
  <si>
    <t>List 3</t>
  </si>
  <si>
    <t>List 4</t>
  </si>
  <si>
    <t>List 5</t>
  </si>
  <si>
    <t>List 6</t>
  </si>
  <si>
    <t>List 7</t>
  </si>
  <si>
    <t>List 8</t>
  </si>
  <si>
    <t>Yes</t>
  </si>
  <si>
    <t xml:space="preserve">Yes </t>
  </si>
  <si>
    <t>Subrecipient</t>
  </si>
  <si>
    <t>Not Started</t>
  </si>
  <si>
    <t>Acquisition of equipment for COVID-19 prevention and treatment</t>
  </si>
  <si>
    <t>Impact - General Public</t>
  </si>
  <si>
    <t>Urban (Clark/Washoe)</t>
  </si>
  <si>
    <t>No</t>
  </si>
  <si>
    <t>Contractor</t>
  </si>
  <si>
    <t>Completed less than 50%</t>
  </si>
  <si>
    <t>Adaptations to congregate living facilities</t>
  </si>
  <si>
    <t>Impact - Low or moderate income households or populations</t>
  </si>
  <si>
    <t>Rural</t>
  </si>
  <si>
    <t>N/A</t>
  </si>
  <si>
    <t>Completed 50% or More</t>
  </si>
  <si>
    <t>Affordable housing, supportive housing, or recovery housing</t>
  </si>
  <si>
    <t>Impact - households that experienced unemployment</t>
  </si>
  <si>
    <t>Statewide</t>
  </si>
  <si>
    <t>Completed</t>
  </si>
  <si>
    <t>Behavioral health facilities and equipment</t>
  </si>
  <si>
    <t>Impact - households that experienced increased food or housing insecurity</t>
  </si>
  <si>
    <t>Childcare, daycare and early learning facilities</t>
  </si>
  <si>
    <t>Impact - households that qualify for certain federal programs</t>
  </si>
  <si>
    <t>COVID-19 testing sites and laboratories, and acquisition of related equipment</t>
  </si>
  <si>
    <t>Impact - services to address lost instructional time in K-12 schools</t>
  </si>
  <si>
    <t>COVID-19 vaccination sites</t>
  </si>
  <si>
    <t>Impact - Other households or populations that experienced a negative economic</t>
  </si>
  <si>
    <t>Devices and equipment that assist households in accessing the internet</t>
  </si>
  <si>
    <t>Impact - small businesses that experienced a negative economic impact</t>
  </si>
  <si>
    <t>Emergeny operation centers and acquisition of emergency response equipment</t>
  </si>
  <si>
    <t>Impact - classes of small businesses designated as negatively economically impacted</t>
  </si>
  <si>
    <t>Food banks and other facilities</t>
  </si>
  <si>
    <t>Impact - nonprofits that experienced a negative economic impact specify</t>
  </si>
  <si>
    <t>Improvements to existing facilities</t>
  </si>
  <si>
    <t>Impact - classes of nonprofits designated as negatively economically impacted</t>
  </si>
  <si>
    <t>Installation and improvement of ventilation systems</t>
  </si>
  <si>
    <t>Impact - Travel tourism or hospitality sectors</t>
  </si>
  <si>
    <t>Job and workforce training centers</t>
  </si>
  <si>
    <t>Impact - industry outside the travel tourism or hospitality sectors specify</t>
  </si>
  <si>
    <t>Medical equipment and facilities</t>
  </si>
  <si>
    <t>Disproportionately Impacted  - Low income households and populations</t>
  </si>
  <si>
    <t>Medical facilities generally dedicated to COVID-19 treatment and mitigation</t>
  </si>
  <si>
    <t>Disproportionately Impacted - households and populations residing in Qualified Census Tracts</t>
  </si>
  <si>
    <t>Mitigation measures in small businesses, nonprofits and impacted industries</t>
  </si>
  <si>
    <t>Disproportionately Impacted - households that qualify for certain federal programs</t>
  </si>
  <si>
    <t>Parks, green spaces, recreational facilities, sidewalks</t>
  </si>
  <si>
    <t>Disproportionately Impacted - households receiving services provided by Tribal governments</t>
  </si>
  <si>
    <t>Public health data systems</t>
  </si>
  <si>
    <t>Disproportionately Impacted - services to address educational disparities Title I eligible</t>
  </si>
  <si>
    <t>Rehabilitations, renovation, remediation, cleanup, or conversions</t>
  </si>
  <si>
    <t>Disproportionately Impacted - Other household or populations that experienced a disproportionate impact</t>
  </si>
  <si>
    <t>Schools and other educational facilities</t>
  </si>
  <si>
    <t>Disproportionately Impacted - small businesses operating in Qualified Census Tracts</t>
  </si>
  <si>
    <t>Technology and equipment to allow law enforcement</t>
  </si>
  <si>
    <t>Disproportionately Impacted - small businesses operated by Tribal governments or on Tribal lands</t>
  </si>
  <si>
    <t>Technology and tools</t>
  </si>
  <si>
    <t>Disproportionately Impacted - Other small businesses Disproporionately Impacted by the pandemic specify</t>
  </si>
  <si>
    <t>Technology infrastructure to adapt government operations</t>
  </si>
  <si>
    <t>Disproportionately Impacted - nonprofits operating in Qualified Census Tracts</t>
  </si>
  <si>
    <t>Temporary medical facilities and other measures</t>
  </si>
  <si>
    <t>Disproportionately Impacted - nonprofits operated by Tribal governments or on Tribal lands</t>
  </si>
  <si>
    <t>Transitional shelters</t>
  </si>
  <si>
    <t>Disproportionately Impacted - Other nonprofits Disproportionately Impacted by the pandemic specify</t>
  </si>
  <si>
    <t>Other (please specify)</t>
  </si>
  <si>
    <t>None</t>
  </si>
  <si>
    <t>Today's Date</t>
  </si>
  <si>
    <t>Columns with formulas</t>
  </si>
  <si>
    <t xml:space="preserve">                    </t>
  </si>
  <si>
    <t xml:space="preserve"> </t>
  </si>
  <si>
    <t>Agency</t>
  </si>
  <si>
    <t>Project #</t>
  </si>
  <si>
    <t>Budget Account</t>
  </si>
  <si>
    <t>Project Start Date</t>
  </si>
  <si>
    <t>Project End Date</t>
  </si>
  <si>
    <t># of Days in Project Period</t>
  </si>
  <si>
    <t>% of Project Period Passed</t>
  </si>
  <si>
    <t>Original NOA Amount</t>
  </si>
  <si>
    <t>Change Requests</t>
  </si>
  <si>
    <t>GFO/LCB Adjustments</t>
  </si>
  <si>
    <t>Total NOA + Change Requests + Adjustments</t>
  </si>
  <si>
    <t xml:space="preserve">Most Recent NOA Amount </t>
  </si>
  <si>
    <t>Difference of Column L + M</t>
  </si>
  <si>
    <t>Original Budgeted Amount</t>
  </si>
  <si>
    <t>Initial Approved Work Program #</t>
  </si>
  <si>
    <t>Description of Project (Limited to 1500 characters)</t>
  </si>
  <si>
    <t>Brief description of structure and objectives of assistance program(s), including public health or negative economic impact experienced (Limited to 250 characters)</t>
  </si>
  <si>
    <t>Brief description of approach to ensuring the response is reasonable and proportional to a public health or negative economic impact of COVID-19. (limited to 250 characters)</t>
  </si>
  <si>
    <t>Narrative - Update on Project Status</t>
  </si>
  <si>
    <t>Completion Status</t>
  </si>
  <si>
    <t>Previous Obligations Reported</t>
  </si>
  <si>
    <t>Additional Obligations between 
May1 - May 31, 2025</t>
  </si>
  <si>
    <t>Total Obligations
DO NOT HARDCODE</t>
  </si>
  <si>
    <t>Previously Expended</t>
  </si>
  <si>
    <t>Expended  
July 1 - August 30, 2025</t>
  </si>
  <si>
    <t>Total Expended
DO NOT HARDCODE</t>
  </si>
  <si>
    <t>% Expended</t>
  </si>
  <si>
    <t>Approved
Adjustments (+/-)
(Work Programs + Budget Revisions)</t>
  </si>
  <si>
    <t>Revised Approved Budget</t>
  </si>
  <si>
    <t>Difference between most Recent NOA and Revised Approved Budget</t>
  </si>
  <si>
    <t>Additional Potential Deobligation Amount</t>
  </si>
  <si>
    <t>Sustainability: One Time Funding, Medicaid, Other Funding Source, Budget Request</t>
  </si>
  <si>
    <t xml:space="preserve"># of Households/Individuals Served/Tests/etc. </t>
  </si>
  <si>
    <t>Amount Allocated towards Evidence Based Interventions</t>
  </si>
  <si>
    <t>Is this project related to a Capital Expenditure?</t>
  </si>
  <si>
    <t>Area Served: Urban (Clark/Washoe), Rural or Statewide</t>
  </si>
  <si>
    <t>Topic Area: Behavioral Health (Adult or Children); Infrastructure; Public Health; Workforce; Other</t>
  </si>
  <si>
    <t>NOTES</t>
  </si>
  <si>
    <t>Difference (Revised approved budget less spent)</t>
  </si>
  <si>
    <t>23DOCMP01</t>
  </si>
  <si>
    <t>DHHS Director's Office Computers</t>
  </si>
  <si>
    <t>23FR315001</t>
  </si>
  <si>
    <t>Purchase of 6 laptops to enable staff to telework when needed, due to public health emergencies.</t>
  </si>
  <si>
    <t>Equipment was purchased</t>
  </si>
  <si>
    <t>One Time Funding</t>
  </si>
  <si>
    <t>Infrastructure</t>
  </si>
  <si>
    <t>22PRVSM01</t>
  </si>
  <si>
    <t>Human Services Provider Summit</t>
  </si>
  <si>
    <t>22FRF31951</t>
  </si>
  <si>
    <t>The event will help identify a short list of providers who are equipped to address our service gaps. It will also educate new providers on how to do business in the state and gain additional insight from the provider community on current barriers to expansion.</t>
  </si>
  <si>
    <t>Project complete. In collaboration with the Office of the Governor, DHHS hosted a Healthcare Provider Summit on April 19, 2022, in Las Vegas to restart conversations that were put on hold for the pandemic; discuss ideas and innovations; and collaborate to better support the health of all Nevadans.</t>
  </si>
  <si>
    <t>23ARYRX01</t>
  </si>
  <si>
    <t>ArrayRx</t>
  </si>
  <si>
    <t>23FRF31951</t>
  </si>
  <si>
    <t>Communications campaign for the launch of the Array prescription card program.</t>
  </si>
  <si>
    <t>Project complete. All funding was used for the development and publishing of a statewide advertising campaign through January 2025 in English and Spanish to promote the ArrayRX prescription drug card.</t>
  </si>
  <si>
    <t>Public Health</t>
  </si>
  <si>
    <t>23DOCMP02</t>
  </si>
  <si>
    <t>DHHS Director's Office Admin Svc and GMU</t>
  </si>
  <si>
    <t>23FR319502</t>
  </si>
  <si>
    <t>Purchase 3 laptops for telework</t>
  </si>
  <si>
    <t>23NVTRI01</t>
  </si>
  <si>
    <t>DHHS Director's Office - Nevada Transplant Institute</t>
  </si>
  <si>
    <t>23FR319503</t>
  </si>
  <si>
    <t>This request will allow the division to subgrant funds to the Nevada Donor Network to support the Nevada Transplant Institute (NTI). This one-time funding will be used to support a cooperative approach to organ donation and transplantation to solve a great inequity and disparity in the Battle Born State. This request will fund the necessary infrastructure and campus ecosystem at the Nevada Donor Network in Las Vegas and in Reno to support the state-wide Nevada Transplant Institute (NTI). Funds will also be utilized to fund the cost of the initial 10 liver transplants prior to CMS certification, infrastructure enhancements at a Southern Nevada hospital to start a liver transplant center, and infrastructure enhancement to start a kidney transplant center at a Northern Nevada hospital.</t>
  </si>
  <si>
    <t xml:space="preserve">Renown Health is set to perform first kidney transplant in the next 30 days in partnership with NTI; Patients are being seen on a daily basis in Renown Health transplantation clinic facilitated by grant; NTI operational team has identified a viable space on the campus of Roseman University in Southern Nevada for a pre and post transplant patient clinic similar to Renown Health clinic in northern Nevada; NTI is awaiting feedback on lease draft  and to begin tenant improvements in southern Nevada to see and treat transplant patients; Physicians and Administrators hired by the NTI are in place for Renown program and southern Nevada clinic operations. 
</t>
  </si>
  <si>
    <t xml:space="preserve">SFY24 WP 24FRF31951 Submitted 4/22 to align authority with balance of NOA. </t>
  </si>
  <si>
    <t>23EIPRC01</t>
  </si>
  <si>
    <t>DHHS Director's Office - Early Intervention Personnel Center</t>
  </si>
  <si>
    <t>23FR327601</t>
  </si>
  <si>
    <t>This proposal requests ARPA funding for the Nevada Early Intervention System to develop a feasible solution as well as additional option to traditional academia in order to retain employees and assist them in meeting their professional requirements. An Early Intervention Personnel Center may facilitate a Developmental Specialist Core Series of professional development curriculum that will be no cost to El professional learners, and that will be comparably rigorous to current, traditional paths of 18 course credits to educator licensure, and that would meet federal requirements through IDEA Part C for highly qualified professionals, according to 34 CFR 303.119 Comprehensive System for Personnel Development.</t>
  </si>
  <si>
    <t>The PD Center’s first three cohorts — most completed recently on April 11, 2025 — had a total of 57 graduates. Contract PD Center director will continue with ARPA funds through June 2026, and thereafter funding for the position will be through annual formula grant funds. The Developmental Vision Specialist (DVS) series is in progress.</t>
  </si>
  <si>
    <t>Workforce</t>
  </si>
  <si>
    <t xml:space="preserve">SFY24 WP 24FR327602 Submitted 4/25 to align authority with balance of NOA. </t>
  </si>
  <si>
    <t>23CMSMI01</t>
  </si>
  <si>
    <t>Data System Modernization and Integration</t>
  </si>
  <si>
    <t>23FRF31513</t>
  </si>
  <si>
    <t>Funding is used to contract a vendor to design, develop, and implement ADSD's data system modernization, and contract two IT augmentation positions through the funding period.</t>
  </si>
  <si>
    <t xml:space="preserve">This project will benefit several public assistance programs and ensure timely access to services by Nevada's most vulnerable populations.  </t>
  </si>
  <si>
    <t xml:space="preserve">Increase response and communication for accessing services.  </t>
  </si>
  <si>
    <t>All funding obligated and expected to be fully expended by 12/31/26, across multiple contracts modernizing ADSD case management systems.  This includes integrating PowerDMS (policy portal) and CLio Legal Services (case management for advocacy attorney). Key milestones include setting up user logins, role assignments, and linking provider accounts as well as advancing several data migration activities.  We have also established a modernized web intake form for the Ombudsman program.  All efforts continue to progress as planned, ensuring enhanced system functionality and operational efficiency.</t>
  </si>
  <si>
    <t>23CONSV01</t>
  </si>
  <si>
    <t>Agency Operation Improvements</t>
  </si>
  <si>
    <t>23FRF31512</t>
  </si>
  <si>
    <t>Two contracts to help ADSD improve processes and systems and implement complex federal regulations. Contract 1 provided business process redesign (BPR) to streamline intake and case management, create efficiency in workflows, centralize activities and remove duplication to improve access to care for clients within the Autism Treatment Assistance Program, Developmental Services and Office of Community Living. Contract 2 provided consulting, technical assistance, and program evaluation for Enhancing Home and Community-Based Services Regulations. This portion of the project evaluated ADSD's home and community-based waiver program compliance with federal regulations, made recommendations for program improvement in relation to those regulations, and provided staff with training needed to implement program improvement.</t>
  </si>
  <si>
    <t xml:space="preserve">To increase ADSD program efficiencies, as well as ensure compliance with federal home- and community-based waiver service regulations. </t>
  </si>
  <si>
    <t>Ensure internal program processes are efficient to best serve individuals in need of ADSD services. Ensure home- and community-based waiver programs are in compliance with federal regulations to maintain federal funding and improve waiver service delivery.</t>
  </si>
  <si>
    <t xml:space="preserve">Contract 1 was completed on 06/2024 and with all objectives met. The $26,966.92 remaining in Contract 2 will be expended by 6/30/25.  
</t>
  </si>
  <si>
    <t>23TELEQ01</t>
  </si>
  <si>
    <t>Telework Equipment</t>
  </si>
  <si>
    <t>23FRF31511</t>
  </si>
  <si>
    <t>Funding was used to purchase IT equipment to support remote work to mitigate the risk of infection disease transmission to the most vulnerable populations.</t>
  </si>
  <si>
    <t xml:space="preserve">Increase efficiency and productivity for a hybrid work environment.  </t>
  </si>
  <si>
    <t xml:space="preserve">Ensure team members are able to appropriately respond to public inquiries and continue vital services in a hybrid environment. </t>
  </si>
  <si>
    <t>Project completed. Remaining funds were de-obligated.</t>
  </si>
  <si>
    <t>22OCHA01</t>
  </si>
  <si>
    <t>Office for Consumer Health Assistance</t>
  </si>
  <si>
    <t>22FRF32041</t>
  </si>
  <si>
    <t>Funded a projected revenue shortfall related to a reduction in billable activities. The Office for Consumer Health Assistance, which includes the Bureau of Hospital Patients, a Workers Compensation Program, and the Office of Minority Health, provides a single point of contact for consumers statewide, including members of minority groups and injured workers regarding health care issues. The objective is to help understand their rights and responsibilities under various Nevada health care-related laws and health care plans, including industrial insurance policies. In addition, the office disseminates information through outreach activities including counseling, education and advocacy to increase awareness of and access to health care services.</t>
  </si>
  <si>
    <t>This project continued to pay costs incurred for delivering services to the community, which included outreach, counseling, education and advocacy to increase awareness of and access to health care services.</t>
  </si>
  <si>
    <t>Continuation of delivering health care services assistance.</t>
  </si>
  <si>
    <t>Project completed. All funds have been expended.</t>
  </si>
  <si>
    <t>Social Services</t>
  </si>
  <si>
    <t>23NEISA01</t>
  </si>
  <si>
    <t>Nevada Early Intervention Services</t>
  </si>
  <si>
    <t>23FRF32082</t>
  </si>
  <si>
    <t>In this project, the consulting firm, Health Management Associates (HMA) were contracted to conduct an analysis of the Nevada's Early Intervention System (NEIS) model and provide recommendations on the best proactive service delivery model. The contract with HMA for this project ended on 12/31/2023 and final copy of report provided to program on 6/7/2024.</t>
  </si>
  <si>
    <t>A provider rate study, completed in 2022 by HMA, helped ADSD and NEIS recognize how provider rates and system costs are substantially influenced by the systems design. With HMA's System study, we were able to evaluate the current structure of the NEIS system to support potential changes to policies, practices, and contracts.  We considered the impacts of system design on providers and State programs and how it affects program costs and provider sustainability.</t>
  </si>
  <si>
    <t>The experiences of the COVID-19 pandemic have shown how fragile the NEIS system is. The need for sustainability planning is critical to the system’s success. Ultimately, ensuring children and families are receiving timely and appropriate services to support the development of the children in the program. Equally important is to strengthen and sustain the system for the service providers who provide these critical services to children.</t>
  </si>
  <si>
    <t>Work Program 24FRF32082 to deobligate remaining funds has been approved, close out letter received.</t>
  </si>
  <si>
    <t>23NVEIS01</t>
  </si>
  <si>
    <t>NEIS Telemedicine Mobile Carts</t>
  </si>
  <si>
    <t>23FRF32081</t>
  </si>
  <si>
    <t xml:space="preserve">Telemedicine Mobile Carts have allowed providers to evaluate children remotely through telehealth services; especially autism diagnostic assessments to families in rural and frontier areas. </t>
  </si>
  <si>
    <t xml:space="preserve">No further expenses for these one time costs. </t>
  </si>
  <si>
    <t>This has allowed a group of experts to evaluate children when families are not able to be physically in the office. Having these units in all offices has supported statewide access to Early Intervention Services. Providing additional access to telehealth services also reduces potential exposure of children already at high risk of COVID-19 and who otherwise are medically fragile.</t>
  </si>
  <si>
    <t>Project completed.</t>
  </si>
  <si>
    <t>Technology</t>
  </si>
  <si>
    <t>22CCSCR01</t>
  </si>
  <si>
    <t>Carson City Senior Center</t>
  </si>
  <si>
    <t>22FRF32661</t>
  </si>
  <si>
    <t>Sub-award to Carson City Senior Center under Community Recovery Grant.</t>
  </si>
  <si>
    <t>Funding was used to contract meal services to continue congregate and home-delivered meals for clients eligible under the Older Americans Act while the Carson City Senior Center kitchen was temporarily closed.</t>
  </si>
  <si>
    <t xml:space="preserve">Addressed food insecurity for vulnerable populations. </t>
  </si>
  <si>
    <t xml:space="preserve">Complete. Final payment 4/19/2023. Remaining funds de-obligated. </t>
  </si>
  <si>
    <t>22HHRHD01</t>
  </si>
  <si>
    <t>Helping Hands Rural Home Delivered Meals</t>
  </si>
  <si>
    <t>Sub-award to Helping Hands Rural Home Delivered Meals under the Community Recovery Grant.</t>
  </si>
  <si>
    <t xml:space="preserve">Increased number of households that received food or food assistance. </t>
  </si>
  <si>
    <t xml:space="preserve">Served vulnerable and rural populations. Funding was subawarded to  community partners who provided food services in rural counties including:   Lincoln, Nye, Esmeralda, Carson City, Churchill, Lyon, and Mineral. </t>
  </si>
  <si>
    <t xml:space="preserve">Project completed. Final payment 4/6/2023. All funds have been expended. </t>
  </si>
  <si>
    <t>24VCRE01</t>
  </si>
  <si>
    <t>ADSD Video Conference Equipment</t>
  </si>
  <si>
    <t xml:space="preserve"> $                               -  </t>
  </si>
  <si>
    <t xml:space="preserve"> 24FRF32788 </t>
  </si>
  <si>
    <t>Equipment and furniture for conference rooms across the Aging and Disability Services Division (ADSD).</t>
  </si>
  <si>
    <t>This new project will enable ADSD to upgrade existing technology in its conference rooms to support community engagement, training and planning efforts.</t>
  </si>
  <si>
    <t xml:space="preserve">New technology in ADSD conference rooms will allow the division to increase community engagement through both in-person and virtual meeting options that are easy for individuals to access. </t>
  </si>
  <si>
    <t>Complete. Final expenditures paid 7/2/2025.</t>
  </si>
  <si>
    <t xml:space="preserve"> One Time Funding </t>
  </si>
  <si>
    <t>23DRCFL01</t>
  </si>
  <si>
    <t>Desert Regional Center, Intermediate Care Facility Flooring</t>
  </si>
  <si>
    <t>23FRF32791</t>
  </si>
  <si>
    <t>This funding was used to purchase and install new high-quality, high-traffic flooring at Desert Regional Center, an intermediate care facility (ICF) operated by ADSD.</t>
  </si>
  <si>
    <t>Flooring was showing signs of wear and tear and was difficult to maintain.  Installation of new flooring provides consistency across all homes at the facility and streamline cleaning procedures.</t>
  </si>
  <si>
    <t>Purchase and installation of new high-quality and high-traffic flooring to streamline and improve cleaning procedures, and to promote cleanliness and positive health outcomes.</t>
  </si>
  <si>
    <t xml:space="preserve">Project completed 6/30/2024.  </t>
  </si>
  <si>
    <t>Clark</t>
  </si>
  <si>
    <t>23GTGAC01</t>
  </si>
  <si>
    <t>Ackerman Center</t>
  </si>
  <si>
    <t>23FRF32794</t>
  </si>
  <si>
    <t>Funding was used to hire diagnostic and therapeutic providers to diagnose children with neurodevelopmental disorders. Funds were sub-awarded to the GGAF Ackerman Center, which is the only center in Southern Nevada that specializes in testing children with brain and development disorders as early as 12 to 14 months of age. The Ackerman Center's goal was to hire 100 clinicians to help kids quicker, reducing wait time from 9-18 months to 1-3 months, and diagnose more than 2,000 children annually.</t>
  </si>
  <si>
    <t>By hiring more providers to diagnose children, experienced staff at the Ackerman Center have more time to teach families and community workers. This helps more people understand developmental and intellectual disabilities. As the center grows and becomes more stable, GGAF can use more of its donations and grants to help families directly such as offering support programs, job training, and money for families who can’t afford important services.</t>
  </si>
  <si>
    <t xml:space="preserve">Expanding clinical staff resulted in a significant increase in the number of children in Southern Nevada being diagnosed, and therefore able to receive necessary therapies. Expanded staff also helped to reduce the long wait lists that caused families to leave the state in order to receive care more timely. </t>
  </si>
  <si>
    <t xml:space="preserve">Project completed 02/05/2025. </t>
  </si>
  <si>
    <t>Behavioral Health (Adult/Children)</t>
  </si>
  <si>
    <t>23RFPCN01</t>
  </si>
  <si>
    <t>Specialized Intensive Services of Developmental Services</t>
  </si>
  <si>
    <t>23FRF32795</t>
  </si>
  <si>
    <t xml:space="preserve">To focus on capacity building, provision of direct services including pilot programs, and workforce development to improve services for individuals with intellectual/developmental disabilities and complex behavioral support needs. </t>
  </si>
  <si>
    <t>Multiple vendors and projects are funded that will increase the availability and accessibility of various services for individuals with intellectual/developmental disabilities and complex behavioral support needs.</t>
  </si>
  <si>
    <t>Improving services to this complex population across the state will improve outcomes for those individuals and their families that are in need of crucial services to avoid institutionalization and/or out-of-state placement.</t>
  </si>
  <si>
    <t>Multiple projects are active with all work on schedule and vendors requesting funds as anticipated. Latest spend plan amendment was approved by GFO on 7/9/25. Capacity Building Institute (CBI) first cohort of 50 participants starts 7/31/25 with the goal of increasing knowledge and collaboration across various professionals working with individuals with intellectual/developmental disabilities (IDD) and intensive behavioral needs. Peer provider technical assistance is active to assist people with extensive behavioral needs remain living in the community. Selection is nearly complete for providers and staff who will undergo training and certification from the National Association for the Dually Diagnosed (NADD) to increase professional knowledge. Various training opportunities to expand leadership capacity, learn about national best practices, and develop needed skills to better serve people with IDD and intensive behavioral needs are occurring as planned. Extended respite programs for youth to ease family pressures are continuing throughout the summer. Funds will be expended by 12/31/26.</t>
  </si>
  <si>
    <t>23SPINC01</t>
  </si>
  <si>
    <t>Desert Regional Center, Intermediate Care Facility Speaker/Intercom Replacement</t>
  </si>
  <si>
    <t>23FRF32792</t>
  </si>
  <si>
    <t>This project replaced the speaker/intercom system at Desert Regional Center, an intermediate care facility (ICF).</t>
  </si>
  <si>
    <t>Replacement of the speaker/intercom system at Desert Willow will allow for increased ability to communicate across campus when additional assistance is needed to support residents of the ICF.</t>
  </si>
  <si>
    <t>Increased ability to communicate across campus when additional assistance is needed for an ICF resident will result in faster response time and quicker intervention when needed.</t>
  </si>
  <si>
    <t>Project completed 4/19/2023.  Funds fully expended.</t>
  </si>
  <si>
    <t>23TMCSY01</t>
  </si>
  <si>
    <t>Desert Regional Center, Intermediate Care Facility Electric Time Clock Installation</t>
  </si>
  <si>
    <t>23FRF32793</t>
  </si>
  <si>
    <t>Purchase and installation of an electric time clock system that allows employees to clock in and out for their shifts.</t>
  </si>
  <si>
    <t>Project completed 06/30/2023.  100% of funds were de-obligated.</t>
  </si>
  <si>
    <t>22CHCMH01</t>
  </si>
  <si>
    <t xml:space="preserve">CRG - Churchill Community Hospital Inc. </t>
  </si>
  <si>
    <t>3266/78</t>
  </si>
  <si>
    <t>22FRF32662</t>
  </si>
  <si>
    <t>Churchill Community Hospital Inc. project gave money directly to patients with financial or social challenges and no other county assistance right after leaving Banner Churchill Community Hospital. A licensed social worker helped identify patients who needed support. The project mainly helped patients get to their health care appointments by giving them money for transportation.</t>
  </si>
  <si>
    <t>Support was provided to patients in need after leaving the hospital, so they could obtain transportation to their follow-up doctor visits.</t>
  </si>
  <si>
    <t>Funding is provided only to low or moderate income households or individuals.</t>
  </si>
  <si>
    <t xml:space="preserve">Project complete. Final payment 7/11/2024. All funds have been expended. </t>
  </si>
  <si>
    <t>23FCWPL01</t>
  </si>
  <si>
    <t>Personal Care Workforce Impact</t>
  </si>
  <si>
    <t>23FRF32669</t>
  </si>
  <si>
    <t>To establish a Caregiving Training Institute utilizing a consensus curriculum to train professional caregivers.</t>
  </si>
  <si>
    <t xml:space="preserve">The COVID-19 pandemic has exacerbated the personal care workforce shortage. This project aims to build a consensus-based training curriculum, while also supporting workforce development through outreach and incentives for recruitment and retention.  </t>
  </si>
  <si>
    <t xml:space="preserve">This project is critical to Olmstead compliance to help people with disabilities stay out of institutional settings.  The availability of personal care professionals is critical to providing home- and community-based services.  </t>
  </si>
  <si>
    <t xml:space="preserve">Contract to develop caregiver training is in progress.  Initial delays were due to limited staff resources to support the project but, the project is now on target. Contractor is working closely with HCQC to determine impact of AB519 on training curriculum.  A second contract for the outreach component will begin in the 2nd quarter of SFY2026. </t>
  </si>
  <si>
    <t>23HBSMS01</t>
  </si>
  <si>
    <t>Home-Delivered Meals for Older Adults</t>
  </si>
  <si>
    <t>23FRF32663</t>
  </si>
  <si>
    <t>Sub-award to existing community partners to increase program capacity by providing home-delivered meals and necessary equipment</t>
  </si>
  <si>
    <t xml:space="preserve">Funding is subawarded to 11 existing subrecipients who provide home delivered meal services to help build capacity and to reduce waitlists of older adults in need of home delivered meals. </t>
  </si>
  <si>
    <t>Supports independent living for older adults through nutritious meals.</t>
  </si>
  <si>
    <t xml:space="preserve">Project completed 6/30/2025. </t>
  </si>
  <si>
    <t>Waitlist</t>
  </si>
  <si>
    <t>23HCAPD01</t>
  </si>
  <si>
    <t>Home/Chore Assistance for people with Disabilities</t>
  </si>
  <si>
    <t>23FRF32665</t>
  </si>
  <si>
    <t>This project addresses existing waitlists for home and chore assistance services to older adults and people with disabilities. This project has also allowed the implementation of new service delivery models to expand capacity for this service.  The homemaker and chore assistance program offers critical services to people to help them remain healthy and safe in their homes. It is also one of the lowest return on investment services to support people in their homes.</t>
  </si>
  <si>
    <t xml:space="preserve">As a result of the pandemic and other economic factors,  service costs continue to increase, making it difficult to recruit personnel. This project helps connect individuals on the waitlist with services as well as provides funding to subrecipients for  implementation of innovative service delivery models.  </t>
  </si>
  <si>
    <t xml:space="preserve">Reduce growing waitlist for services. </t>
  </si>
  <si>
    <t xml:space="preserve">All funding is expected to be expended. Several projects (seven) under this funding ended 6/30/2025. 
This funding is used for subawards to community partners to help expand capacity, address waitlists, and to support a self-directed service delivery model for Nevada's vulnerable population in need of home and chore assistance services. A contract was finalized with a financial management service to support the self-direct service delivery model.  
</t>
  </si>
  <si>
    <t>23INHSV01</t>
  </si>
  <si>
    <t>Assistive Technology for Independent Living (AT/IL) Program and Home Safety, Modification, Repair Services and Bed Bug Remediation</t>
  </si>
  <si>
    <t>23FRF32661</t>
  </si>
  <si>
    <t>To reduce the waitlists for the AT/IL, Home Safety Modification and Repair Services, and Bed Bug Remediation programs.</t>
  </si>
  <si>
    <t>Will support individual's ability to remain safe, and independent in their own homes. Whether it’s providing adaptive technology to enhance daily life, modifying homes to improve safety and accessibility, repairing critical household infrastructure, or eradicating bed bug infestations, these programs aid in improving quality of life. This funding is used to help address wait times and wait lists to of individuals seeking to live comfortably, independently, and with dignity in their own homes.</t>
  </si>
  <si>
    <t>Prioritize those currently on waitlists.</t>
  </si>
  <si>
    <t xml:space="preserve">All funding is expected to be expended. 
Funding was obligated to subrecipients to address waitlists for the AT/IL Program, the Home Safety, Modification, and Repair Program, and for the Bed Bug Remediation Pilot program. All programs support individuals to live safely and independently in their own homes. Out of seven funded projects, five have completed. </t>
  </si>
  <si>
    <t>23MCSVC01</t>
  </si>
  <si>
    <t>Enhancing Health Literacy for Nevada's Underserved Populations</t>
  </si>
  <si>
    <t>23FRF32664</t>
  </si>
  <si>
    <t>Contract a vendor to redesign/enhance ADSD's website and conduct a marketing and outreach campaign.</t>
  </si>
  <si>
    <t xml:space="preserve">ADSD mobilized the Nevada CAN network  to ensure older adults and people with disabilities were connected to critical services at the beginning of the pandemic.  This effort, along with Olmstead Planning feedback highlighted the importance of ADSD enhancing  their existing website and messaging to help the general population more easily recognize the services we have to offer and ensure people are connecting to services that are critical social determinants of health.  </t>
  </si>
  <si>
    <t xml:space="preserve">ADSD is starting with a re-branding to simplify messaging for Nevadans and is also investing in a re-designed website that uses modern interfacing and organizational structure to highlight programs and services;  this project will also result in revised program materials and an outreach campaign aimed at promoting ADSD throughout Nevada.  </t>
  </si>
  <si>
    <t>Project complete. Final expenditures paid 7/22/2025.</t>
  </si>
  <si>
    <t>One Time Funding/Budget Request</t>
  </si>
  <si>
    <t>23RESSV01</t>
  </si>
  <si>
    <t>Mobile Respite Program</t>
  </si>
  <si>
    <t>23FRF32668</t>
  </si>
  <si>
    <t>Funding was to be used for the creation and implementation of a pilot mobile respite program and contract staffing for administration tasks.</t>
  </si>
  <si>
    <t>The Mobile Respite was targeted to rural communities where there is historically few respite options.  Caregivers were disproportionately impacted as a result of COVID-19 quarantines.  Impacts physical and mental well-being.</t>
  </si>
  <si>
    <t>Project plans were to publish a competitive Notice of Funding Opportunity to support the initial investment for one or more mobile respite programs. Remaining funding was to be used to support waitlist with existing subrecipients providing respite.</t>
  </si>
  <si>
    <t xml:space="preserve">Project not implemented. Funding de-obligated and returned to GFO. </t>
  </si>
  <si>
    <t>23RSBEX01</t>
  </si>
  <si>
    <t>Community Based Care Capacity Building</t>
  </si>
  <si>
    <t>23FR326610</t>
  </si>
  <si>
    <t>Sub-grant to community partners for construction, equipment, licensure, or other modifications needed to increase the number of available facility beds.</t>
  </si>
  <si>
    <t xml:space="preserve">Will increase residential facility bed availability. </t>
  </si>
  <si>
    <t>Safe, stable living spaces for most vulnerable populations.</t>
  </si>
  <si>
    <t>All funding is expected to be expended. 
Two construction projects were completed in March 2025. Three additional projects will be completed by 9/30/2025. Remaining construction projects are expected to be completed by 12/31/2025.</t>
  </si>
  <si>
    <t>23SVNEX01</t>
  </si>
  <si>
    <t>Service Navigation Expansion</t>
  </si>
  <si>
    <t>23FRF32666</t>
  </si>
  <si>
    <t>The goal of this project is to create an entry level pipeline for the health care workforce and address access to care for Nevada's most vulnerable population. The ARPA funding will be used to create a focused training on long-term service navigation and offer certification  as entry level navigators for long-term services and supports. These positions are critical to enhance the state's No Wrong Door efforts, educating individuals and families on programs and services, coordinating services across various programs, expanding access to various services, including Medicare counseling and Office for Consumer Health Assistance services. This funding will support the development of curriculum, grant-funded direct service providers, and administrative costs with a project start date of January 2023 and anticipated to be an ongoing service sustainable through Medicaid claiming, grant funds, and state general funds to the extent available.</t>
  </si>
  <si>
    <t xml:space="preserve">This project will help individuals navigate the long-term services and supports system and will increase the skills and knowledge of resource and service navigator professionals.  </t>
  </si>
  <si>
    <t xml:space="preserve">Increase capacity to provide assistance to inquiries and ensure all populations are served through a trained, professional workforce.  </t>
  </si>
  <si>
    <t xml:space="preserve">All funds have been obligated. Subrecipients are incurring expenditures for capacity building.  Training and outreach projects will begin in Fall 2025. Spending is expected to be completed by 12/31/26 for all projects. </t>
  </si>
  <si>
    <t>23TELTR01</t>
  </si>
  <si>
    <t>Geriatric and Telehealth Workforce Training</t>
  </si>
  <si>
    <t>23FRF32667</t>
  </si>
  <si>
    <t>Funds for this project will be sub-awarded to existing community partners to increase telehealth services by expanding training to providers.</t>
  </si>
  <si>
    <t xml:space="preserve">Increases the accessibility of primary care services for more patients, especially older adults and persons with disabilities, as well as their family caregivers. Provides research data. </t>
  </si>
  <si>
    <t>Service to priority populations to support accessibility of primary care services in all areas.</t>
  </si>
  <si>
    <t>Project completed as of 6/30/2025.
 This project has increased accessibility of telehealth services to older adults and persons with a disability by expanding training to providers.</t>
  </si>
  <si>
    <t>23RCCLV01</t>
  </si>
  <si>
    <t>RECUPERATIVE CARE CENTER EXPANSION</t>
  </si>
  <si>
    <t>23FRF31616</t>
  </si>
  <si>
    <t>A collaborative effort with City of Las Vegas to fund a Recuperative Care Center Expansion for homeless population to recover from medical injury or illness following a discharge from a Hospital.</t>
  </si>
  <si>
    <t>An 50 bed facility Expansion to provide medical respite within City of Las Vegas limits, assisting  with wound care, cardiac issues, oxygen, cancer, hospice services, pre and prost-surgical procedures, diabetes and more.</t>
  </si>
  <si>
    <t>The Recuperative Care Center launch in August 2020 filled a major gap in addressing the health care of people experiencing  homelessness exacerbated by the COVID-19 Pandemic.</t>
  </si>
  <si>
    <t>Project is ongoing and has incurred $1,648,607.93 in expenditures as of September 16, 2025.  Expected to fully spend down by end of project period.</t>
  </si>
  <si>
    <t>24FRB3A01</t>
  </si>
  <si>
    <t>Building 3A Forensic Renovation</t>
  </si>
  <si>
    <t>24FRF31615/
24FR31617/
25FRF31615</t>
  </si>
  <si>
    <t>To complete the renovation of Building 3A to permit increased bed capacity by 21 beds</t>
  </si>
  <si>
    <t>This project provides funding to update the existing building for forensic program use.</t>
  </si>
  <si>
    <t>Project completed on 05/28/25, allowing final inspections by Sate Public Works, State Fire Marshall and HCQC Team during the month of June. Building was ready for a 07/01/25 opening.</t>
  </si>
  <si>
    <t>Budget Request</t>
  </si>
  <si>
    <t>24JBMHP01</t>
  </si>
  <si>
    <t>Jail Based Mental Health Programs (SNAMHS/NNAMHS)</t>
  </si>
  <si>
    <t>24FRF31611</t>
  </si>
  <si>
    <t xml:space="preserve">Establish a jail based mental health program for 30 individuals in the Washoe County jail. Establish a jail based mental health program  for 60 individuals in the Clark County detention center. </t>
  </si>
  <si>
    <t>This  funding will allow individuals awaiting inpatient restoration services to receive mental health services in the respective jail that will begin the treatment process.</t>
  </si>
  <si>
    <t>Sub-awards have been executed and awarded to CCDC and Washoe County Jail. Program in full operating for Washoe and Clark Counties. Program received an $2,939,148</t>
  </si>
  <si>
    <t>24SNFLT01</t>
  </si>
  <si>
    <t>Skilled Nursing Facility</t>
  </si>
  <si>
    <t>24FRF31614</t>
  </si>
  <si>
    <t>Fund placement of 11 long term clients into skilled nursing facilities. The forensic clients would be conditionally released and remain committed to the division.</t>
  </si>
  <si>
    <t>Select clients that are assessed as appropriate for placement at a skilled nursing facility would be eligible for conditional release.</t>
  </si>
  <si>
    <t>Efforts are ongoing.   Due to competative rate adjustments, a Savings of $2,721,280 was identified and reallocated to Jail Based Programming 24JBMHP01.  Remaining balance expected to be expended by end of project period.</t>
  </si>
  <si>
    <t>22FRHSP01</t>
  </si>
  <si>
    <t>STEIN FORENSIC HOSP. - RENOVATIONS
SPWD Project#: 22-A001</t>
  </si>
  <si>
    <t>22FRF31612/
23FRF31613</t>
  </si>
  <si>
    <t>Renovations to the hospital to include construction changes and equipment installation.</t>
  </si>
  <si>
    <t>This project updates and replaces the 2 elevators and anti-ligature upgrades in the Allied Therapy room and for the expansion of the existing control room in Stein Hospital</t>
  </si>
  <si>
    <t>Remaining Balance of Project Deobligated 2/2024</t>
  </si>
  <si>
    <t>22LVMHC01</t>
  </si>
  <si>
    <t>SNAMHS MASTER PLAN</t>
  </si>
  <si>
    <t>22FRF31611</t>
  </si>
  <si>
    <t>Southern Nevada Adult Mental Health Services (SNAMHS) Master Plan</t>
  </si>
  <si>
    <t>Creation of a master plan for the SNAMHS  campus.</t>
  </si>
  <si>
    <t>Completed - 12/31/2022 - Final de-obligation completed 4/28/2024</t>
  </si>
  <si>
    <t>23ANTLG01</t>
  </si>
  <si>
    <t>Anti Ligature Furniture</t>
  </si>
  <si>
    <t>23FRF31612</t>
  </si>
  <si>
    <t>Southern Nevada Adult Mental Health Services - Anti-Ligature Furnishings</t>
  </si>
  <si>
    <t>To upgrade the furniture in the Stein Hospital and Rawson Neal Hospital to anti-ligature furniture.</t>
  </si>
  <si>
    <t>Completed and closed out June 2024</t>
  </si>
  <si>
    <t>23FBCLV01</t>
  </si>
  <si>
    <t>Forensic Bed Capacity LV</t>
  </si>
  <si>
    <t>23FRF31615</t>
  </si>
  <si>
    <t>Fund expansion of Forensic bed capacity by 45 beds at the City of Las Vegas' detention center, to include construction needs and staffing</t>
  </si>
  <si>
    <t>The City of Las Vegas has two empty units at their detention center, the building  and area in a secured locked environment for  client population that are court order to DPBH custody of restoration to competency.</t>
  </si>
  <si>
    <t>Project terminated on September 2023.</t>
  </si>
  <si>
    <t>23BH98801</t>
  </si>
  <si>
    <t>988 Crisis Response System</t>
  </si>
  <si>
    <t>23FRF31652</t>
  </si>
  <si>
    <t>Establishing a Crisis Response System for Nevada</t>
  </si>
  <si>
    <t xml:space="preserve">Fully funding both the 988 Crisis Call Center and Care Traffic Control Hub simultaneously, along with the other components of a CRS, will create a fully functional system that can deploy resources to Nevadans in crisis, mitigating serious consequences that result in negative, sometimes fatal outcomes. </t>
  </si>
  <si>
    <t>Current use of this category has been for the budget line item 988 project manager. State of Nevada recently executed a second year extension for the project manager. Roughly left is 3.1 million that is allocated for the launch of the 988 request for proposal (RFP) which will be released late 2023, and paid Spring 2024.</t>
  </si>
  <si>
    <t>This funding supported a $49.7M contract for Nevada to have a second 988 Suicide and Crisis Lifeline. This was executed in November 2024, this contract will also improve the current technology and infrastructure of Nevada for crisis response, across the state. Project manager was hired for the 988 call center project.</t>
  </si>
  <si>
    <t xml:space="preserve">Data per month:
2600 calls 
480 chats
520 texts
State projects the above data for use of the 988 call center, which the funds will be used to launch.
</t>
  </si>
  <si>
    <t xml:space="preserve">3.1 million allocated for the release of RFP and launch of 988 will be Nationally certified suicide prevention lifeline, Vibrant accreditation standards met for crisis call center and SAMHSA National guidelines for behavioral health crisis care Best practices. </t>
  </si>
  <si>
    <t>23CSSBC01</t>
  </si>
  <si>
    <t>Crisis Stabilization Centers</t>
  </si>
  <si>
    <t>23FRF31653</t>
  </si>
  <si>
    <t>Crisis Stabilization Centers: To provide funding for Infrastructure, tenant improvement, and operational costs to establish crisis stabilization centers.</t>
  </si>
  <si>
    <t>Execute contracts with hospitals to provide funding for infrastructure, tenant improvement, and operational costs o establish crisis stabilization centers.</t>
  </si>
  <si>
    <t>State of Nevada has finalized a subaward for five million to establish and build 1 Crisis Stabilization center. State is preparing to post a Request for application for new builds and or renovations of current hospital or medical centers to stand up additional Crisis Stabilization centers. Subawards in place with Renown. Interlocal agreements anticipated with Clark County for an amount of $10M. $5M can be deobligated.</t>
  </si>
  <si>
    <t>Subawards with UMC and Renown have expired and the program is looking to change the scope of work for the remaining funds to better align with other projects. Renown Crisis Stabilization Center closed due to ARPA funds being terminated by the federal Substance Abuse and Mental Health Services Administration (SAMHSA). UMC opened in June 2025 and is accepting patients.</t>
  </si>
  <si>
    <t>Our community partners implement EB practices in their day to day business models.</t>
  </si>
  <si>
    <t>23EMGCS01</t>
  </si>
  <si>
    <t>Emergency Funding for Crisis Care</t>
  </si>
  <si>
    <t>23FRF31654</t>
  </si>
  <si>
    <t xml:space="preserve">To provide emergency funding to address the surge in behavioral health needs as it relates to the pandemic for behavioral health crisis triage, residential, and inpatient services </t>
  </si>
  <si>
    <t>Expansion services to include residential treatment services to ensure medically necessary treatment can be provided to those with acute needs</t>
  </si>
  <si>
    <t>These funds are allocated to support and provide funding for un-insured and under insured Nevadans suffering from a mental health crisis. Currently $720,488.00 has been spent and State of Nevada is having negotiations for additional subawards to be created with our hospitals to utilize this funding. Will request extension for these funds.</t>
  </si>
  <si>
    <t xml:space="preserve">Program has begun process for new contract for community partner Seven Hills to utilize increase threshold cap. Received extension request approval, providing until 12/31/2025 to expend remaining amount giving a monthly projection of $43,953.20 x 6 months. The remaining balance for the CRS billing funds s projected to be expended by November/December to a direct client service agreement with Seven Hills, and the the remaining $17k will be utilized for the 7.1% indirect on contracts. </t>
  </si>
  <si>
    <t>23NVRES01</t>
  </si>
  <si>
    <t>Nevada Resilience Project</t>
  </si>
  <si>
    <t>23FRF31651</t>
  </si>
  <si>
    <t>Expands the Nevada Resilience Project</t>
  </si>
  <si>
    <t>Puts Resilience Ambassadors in additional partner agencies.</t>
  </si>
  <si>
    <t>State of NV intends to use $1,899,293 to execute a sub-award with a trusted provider to expand NV Resilience Project to full capacity. Sub-award ensures provider-based supervision, expansion of services, increasing behavioral health workforce, and ensuring resilience ambassadors become certified community health workers/peer support specialists, if applicable. Resilience ambassadors will continue to provide individual/group counseling, psycho-education support, resource navigation, suicide prevention, crisis assessment, and recovery supports based on the behavioral impacts of CV-19.</t>
  </si>
  <si>
    <t>Project has ended. De-obligated back to GFO Feb 2024.</t>
  </si>
  <si>
    <t>Resilience Ambassadors provided services to 1,480 individuals in the last quarter under the Health Disparity (CAT 13) grant, averaging 493.3 individuals per month. Additionally, another 2,074 individuals were served under Prevention (CAT 27) dollars, averaging 691.3 individuals per month.</t>
  </si>
  <si>
    <t>$1,956,000 was allocated for expansion of Nevada Resilience Project to continue providing evidence-based interventions, such as Psychological First Aid, Skills for Psychological Recovery, and sought to certify all staff as Community Health Workers and Peer Support, if qualified. All services are strictly focused on prevention and early intervention with regard to mental and behavioral health stress post-crisis/disaster.</t>
  </si>
  <si>
    <t>23MYAVT01</t>
  </si>
  <si>
    <t>my AVATAR</t>
  </si>
  <si>
    <t>23FRF31681</t>
  </si>
  <si>
    <t>Upgrade AVATAR to NX - my Avatar is an Netsmart ONC-certified electronic health record (eHR) solution specifically designed for behavioral healthcare and addiction treatment in community-based, residential, and inpatient programs. The Division's application is currently operating on an aging Netsmart platform which is soon to become obsolete. The aging version needs to be upgraded to the Netsmart NX version or needs to be replaced prior to 10/14/2025 due to dependencies on Internet Explorer 11. IE11 has a dependency on Windows 10 and the security patches and updates will no longer be available after that date.  The existing platform is also Java 32 bit dependent.  This dependency introduces high maintenance for Field and Technical Services and the my Avatar help desk as it results in tickets being generated due to Java dependencies and the wrong version of Java running on end user pcs. In addition, the vendor has moved on to enhancing and supporting upgraded versions of the existing application which introduces limitations on current functionality available for upgrades and enhancements as technology continues to change.</t>
  </si>
  <si>
    <t>NX upgrade is almost completed; EMAR portion to be completed by June.</t>
  </si>
  <si>
    <t>The project is to be completed June 30, 2024; no additional funding will be required.  WP is being processed to de-obligate funds.</t>
  </si>
  <si>
    <t>22FSCPT01</t>
  </si>
  <si>
    <t>CRG - Family Support Center</t>
  </si>
  <si>
    <t>22FRF31701</t>
  </si>
  <si>
    <t>To increase services and reduce wait times  for  mental health, substance use and abuse, trauma, and family strengthening services for individuals who have feelings of loneliness, anxiety, depression, or drug use due to the COVID-19 pandemic.</t>
  </si>
  <si>
    <t xml:space="preserve">The objective of this project is to increase access to mental health, substance use and abuse, trauma, and family strengthening services through the addition of certified staff. </t>
  </si>
  <si>
    <t xml:space="preserve">Additional individuals and families will be able to get services sooner and reduce the wait times and wait lists for these services. </t>
  </si>
  <si>
    <t>Project was never initiated. De-obligated back to GFO 2/2024.</t>
  </si>
  <si>
    <t>22MXYUP01</t>
  </si>
  <si>
    <t>CRG - Moxy Up</t>
  </si>
  <si>
    <t>22FRF31702</t>
  </si>
  <si>
    <t>"Moxy Up" a non-profit organization in Douglas County that is currently run by
volunteers, the ARPA COVID relief funding will provide funds for paid staff, which are now needed to ensure stability in
providing an increased need for education assistance and youth crisis services due to the COVID 19 pandemic, which
has changed the learning environment for youth by causing isolation during times of exposure</t>
  </si>
  <si>
    <t>Ensure stability in providing an increased need for education assistance and youth crisis services due to the COVID 19 pandemic</t>
  </si>
  <si>
    <t>Youth initiative to those who have no after school resources when dealing with urgent/crisis needs within their family, school setting or out in the community.</t>
  </si>
  <si>
    <t>Project has ended. De-obligated back to GFO 6/2024.</t>
  </si>
  <si>
    <t>23MHINP01</t>
  </si>
  <si>
    <t>Mental Health Integration</t>
  </si>
  <si>
    <t>23FRF31703</t>
  </si>
  <si>
    <t>Sub-Grants to support Assertive Community Treatment (ACT) and Forensic Assertive Community Treatment (FACT) programs statewide.</t>
  </si>
  <si>
    <t>Provides Assertive Community Treatment programs to communities in Washoe and Clark Counties to divert certain populations from the criminal justice system.</t>
  </si>
  <si>
    <t>COVID-19 exacerbated mental health concerns in the community. These funds work to address that concern.</t>
  </si>
  <si>
    <t>Legacy submitted their last RFR to expend all subaward funds, The remaining balance for the entire grant is $993.27</t>
  </si>
  <si>
    <t>23NWSPE01</t>
  </si>
  <si>
    <t>Newborn Screen Panel Expansion</t>
  </si>
  <si>
    <t>23FRF31704</t>
  </si>
  <si>
    <t>To purchase equipment to run opioid exposure panel as part of the newborn screening panel at the Nevada State Public Health Lab.</t>
  </si>
  <si>
    <t>Purchase new lab equipment to run opioid exposure panel.</t>
  </si>
  <si>
    <t>These funds are allocated to fund lab equipment to check for opioid exposure at birth.</t>
  </si>
  <si>
    <t>Project was never initiated. De-obligated back to GFO 3/2024</t>
  </si>
  <si>
    <t>22CSAA01</t>
  </si>
  <si>
    <t>COVID-19 Call Center</t>
  </si>
  <si>
    <t>22FR321301</t>
  </si>
  <si>
    <t xml:space="preserve">Continue to provide vaccine scheduling support through inbound and outbound calls through the CSAA call center. </t>
  </si>
  <si>
    <t>The Call Center can be reached 7 days per week from 7 AM to 8 PM.</t>
  </si>
  <si>
    <t xml:space="preserve">The Call Center ensures that all residents can navigate services for COVID. </t>
  </si>
  <si>
    <t>Project Completed 6/2024</t>
  </si>
  <si>
    <t>Between 1/2022-3/2022: 12,763 inbound vaccine calls, 1,053 testing/therapeutics calls, 971 inbound Spanish vaccine/testing calls, 1,178 inbound calls from homebound individuals, 3,295 chats answered, 65,267 outreach calls made, 1,216 NV WebIZ assists</t>
  </si>
  <si>
    <t>22NRSAP01</t>
  </si>
  <si>
    <t>Nursing Assistance Program</t>
  </si>
  <si>
    <t>22FR321601</t>
  </si>
  <si>
    <t>Facilitate and increase participation in the Nurse Apprenticeship Program (NAP)</t>
  </si>
  <si>
    <t>Increase health care staffing in Critical Access Hospitals, Acute Care, and Skilled Nursing facilities by offering nursing students the opportunity to become employed to utilize skills they are certified to perform while still in nursing school.</t>
  </si>
  <si>
    <t>COVID-19 highlighted issues surrounding NV’s healthcare workforce shortage. Funding and promoting the NAP and assisting healthcare facilities with employing nursing students will increase sustainability of the nursing workforce throughout the state.</t>
  </si>
  <si>
    <t>The Nurse Apprentice Program (NAP)  project was completed on 6/30/2025.  The remaining balance of funds, $217,868, was re-allocated to the jail-based program.</t>
  </si>
  <si>
    <t>22CVTST01</t>
  </si>
  <si>
    <t>COVID-19 Rapid Test Kits</t>
  </si>
  <si>
    <t>22FR321802</t>
  </si>
  <si>
    <t>Purchase at-home rapid antigen testing kits to be distributed throughout Nevada by community partners.</t>
  </si>
  <si>
    <t xml:space="preserve">At-home kits are available at locations statewide. Residents can call the 800# or visit NVHealthResponse to identify the locations of the kits in their communities.  </t>
  </si>
  <si>
    <t xml:space="preserve">Testing for COVID is a key part of the public health response to the pandemic. Ensuring that residents have free and easy to use testing allows them to screen and isolate if positive. </t>
  </si>
  <si>
    <t>Project Completed 6/2023</t>
  </si>
  <si>
    <t>588,000 tests</t>
  </si>
  <si>
    <t>22CVTST02</t>
  </si>
  <si>
    <t>COVID-19 Test Kits/CSAA Call Center/ NICUSA Contract</t>
  </si>
  <si>
    <t>22FR321803</t>
  </si>
  <si>
    <t xml:space="preserve">Purchase at-home rapid antigen testing kits to be distributed throughout Nevada by community partners. Extend the testing site at the LCB building through Spring. Develop testing and therapeutic service support through the CSAA call center. </t>
  </si>
  <si>
    <t xml:space="preserve">At-home kits are available at locations statewide. Residents can call the 800# or visit NVHealthResponse to identify the locations of the kits in their communities. The LCB testing site has been offered to any residents, free of charge. This service will run through approximately May. The Call Center can be reached 7 days per week from 7 AM to 8 PM. </t>
  </si>
  <si>
    <t>Testing for COVID is a key part of the public health response to the pandemic. Ensuring that residents have free and easy to use testing allows them to screen and isolate if positive. Having a call center helps keep the public informed.</t>
  </si>
  <si>
    <t>Project Ended 5/2024</t>
  </si>
  <si>
    <t>22MCOTC01</t>
  </si>
  <si>
    <t>Monoclonal Antibody/Therapeutic Treatments</t>
  </si>
  <si>
    <t>22FR321801</t>
  </si>
  <si>
    <t xml:space="preserve">Provide COVID therapeutics statewide, free of charge for those at risk of severe disease. This includes telehealth, monoclonal antibody treatments, and Evershed for pre-exposure. </t>
  </si>
  <si>
    <t>Residents can call the 800# or visit NVHealthResponse to access the services. They will be pre-screened and if they qualify can seek services either at a fixed site or telehealth.</t>
  </si>
  <si>
    <t xml:space="preserve">These treatments have been shown to reduce the risk of severe disease and death by as much as 90%. </t>
  </si>
  <si>
    <t>Project Completed 2/2024</t>
  </si>
  <si>
    <t>23CFAEP01</t>
  </si>
  <si>
    <t>EPIDEMIOLOGIST</t>
  </si>
  <si>
    <t>23FRF32192</t>
  </si>
  <si>
    <t>To provide direct support to public departments and provide advance training to people entering the public health workforce.</t>
  </si>
  <si>
    <t xml:space="preserve">Support will be provided through increased staffing to the Office of State Epidemiology and the Office of Analytics through contracted staff to enhance public health infrastructure and response. </t>
  </si>
  <si>
    <t>Allows for increased efficiency to increased public health impact from COVID-19. Will continuously assess DHHS workforce needs to hire staff as necessary</t>
  </si>
  <si>
    <t>UNLV EPI BIO SG-2024-00428 : On June 1, they opened the applications for fellowship cohort 2 to start on December 1. The applications closed on June 30. Of 27 applicants that met the requirements, 7 applied for SNHD, 3 applied for NNPH, and 17 applied for both agencies. They have a stronger pool of applicants this year and attribute this to two things. First, they are starting much earlier this year, allowing them to capture more spring 2025 graduates. Second, there were drastic changes in federal public health funding that have made the job market much tougher, so there are a lot more recent graduates looking for jobs. They have a lot more applicants from outside Nevada this time, allowing them to potentially attract good epidemiologists to the state. All funds are expected to be spent down.</t>
  </si>
  <si>
    <t>23GIDTR01</t>
  </si>
  <si>
    <t>GENOMIC INFECTIOUS DISEASE TRACKING</t>
  </si>
  <si>
    <t>23FRF32193</t>
  </si>
  <si>
    <t xml:space="preserve">Sub-grant with the Nevada State Public Health Laboratory to support genomic infection disease tracking, data analysis, and enhanced training to support the work of epidemiologists and investigators in the knowledge of genomic biology. </t>
  </si>
  <si>
    <t xml:space="preserve">As of April 2025 NSPHL's Lab-Epi Liaison position is fully proficient with NSPHL genomic testing and bioinformatic interpretation. He is currently developing training presentations for statewide epidemiologists including utilization of the NSPHL dashboard for SARS-CoV-2. This will allow NSPHL to satisfy conditions of their scope of work agreement to increase statewide training and capacity in the working knowledge of genomic biology. 7 trainings have already been delivered, and a pre-post test is in development for future trainings. Additionally, NSPHL implemented a new STARLIMS v12 cloud-based LIMS in December 2024 which will allow data integration with the systems used by the Office of State Epidemiology.  Meetings will be required between the NSPHL IT and genomics staff and the Office of State Epidemiology to define what data is to be electronically transmitted to EpiTRAX to enhance case investigations. At this time, there are no concerns and the project is still anticipated to be completed by Dec 2025.   NSPHL received funding for laboratory equipment service agreements ($134,247.35) that was paid in February 2025. </t>
  </si>
  <si>
    <t>NSPHL and OSE are applying for Epidemiology and Laboratory Capacity (ELC) Grant funding through CDC and writing in the Genomic-Epi-Lab Specialist for Project D-Advanced Molecular Detection. If funded, this position and associated project deliverables will have sustainability through the end of ARPA Funding until the end of the ELC 5 year grant cycle, which is 7/31/2029</t>
  </si>
  <si>
    <t>23MNKPX01</t>
  </si>
  <si>
    <t>MEN'S HEALTH INFORMATION CAMPAIGN / Monkeypox</t>
  </si>
  <si>
    <t>23FRF32191</t>
  </si>
  <si>
    <t xml:space="preserve">To fund Community Health Workers and an awareness campaign regarding the transmission of monkeypox and other health issues for gay and bisexual men. </t>
  </si>
  <si>
    <t>This project has ended. The project was awarded $345,000 total, and of that $344,283.98 was expended. The KPS3 media campaign was hugely successful, generating a large amount of reach over a variety of social media platforms. Silver State Equality was also able to implement and support traditional and social media messaging developed by KPS3, and create materials for stigma reduction and educational purposes.  </t>
  </si>
  <si>
    <t>23CDPHP01</t>
  </si>
  <si>
    <t xml:space="preserve">CHRONIC DISEASE AND HEALTH PROMOTION </t>
  </si>
  <si>
    <t>23FR322001</t>
  </si>
  <si>
    <t>Local Health Authority (SFY 24: SNHD, NNPH; in SFY25 SNHD, NNPH, and training and media) Wellness Efforts- 5210</t>
  </si>
  <si>
    <t>Objectives are to support wellness efforts statewide with selected local health authorities sharing 5-2-1-0 wellness content and some staffing support.</t>
  </si>
  <si>
    <t>Wellness efforts support health and decrease factors leading to chronic disease development and associated higher COVID-19 risk.</t>
  </si>
  <si>
    <t xml:space="preserve">This project is complete. Funded partners included KPS3, Southern Nevada Health District and Northern Nevada Health District, plus two state printing POs.  HealNV  and 5-2-1-0 activities are going to continue beyond the completion of the ARPA project - to do this, the PHHS block grant is supporting these efforts by writing 5-2-1-0 activities into the block grant scope of work for FFY26 and will use PHHS funds to continue hosting the healNV.com website. Additionally, the Wellness and Prevention Coordinator will continue to conduct quarterly 5-2-1-0 partner meetings where DPBH, all of the local health authorities, Carson Tahoe Health, and the NV chapter of the American Academy of Pediatrics meet to discuss promotion efforts, ideas, and share resources to help support 5-2-1-0 until another funding source can be established to further grow comprehensive statewide wellness strategies. DPBH initiated a Childhood Obesity Awareness month proclamation for September that highlights the importance of childhood obesity prevention and how the statewide 5-2-1-0 program can be used to mitigate obesity rates in children and prevent diet-related chronic illness. </t>
  </si>
  <si>
    <t>Wellness efforts by two local health authorities continue.</t>
  </si>
  <si>
    <t>22BBNTY01</t>
  </si>
  <si>
    <t>CRG - Baby's Bounty Diaper Bank/Baby Bundles</t>
  </si>
  <si>
    <t>22FR322201</t>
  </si>
  <si>
    <t>To provide child safety and wellness items for families living at or under 130% Federal Poverty Level in Clark County.  Baby bundles of needed diapering resources, car seats, and safe sleep environments are provided.</t>
  </si>
  <si>
    <t>Low income families receive safety, wellness, and diapering resources.  Car seats and safe sleep environments will prevent infant mortality.</t>
  </si>
  <si>
    <t>Families impacted by the pandemic economically and who are low income will be able to receive  life-saving and health promoting interventions they would otherwise not be able to afford.</t>
  </si>
  <si>
    <t>This project was previously successfully completed and was fully expended 3/2023.</t>
  </si>
  <si>
    <t>Between 4/1/22 and 9/30/22, 13 diaper banks were held, each serving between 500-600 families and 397 Baby Bundles were distributed to families.</t>
  </si>
  <si>
    <t>23NBSTR01</t>
  </si>
  <si>
    <t>UNR NSPHL Newborn</t>
  </si>
  <si>
    <t>23FR322202</t>
  </si>
  <si>
    <t>Funds support the addition of five new disorders on the newborn screening blood spot panel, as well as associated equipment and supplies to add those disorders, and implementation of an HL7 connection to selected state birthing hospitals.</t>
  </si>
  <si>
    <t>The objective of the funding is to ensure infants are screened for five additional disorders to ensure timely detection and treatment to prevent mortality and severe morbidity.</t>
  </si>
  <si>
    <t>Newborn screening prevents needless infant deaths and can reduce severity of health outcomes through timely treatment of rare conditions that otherwise would go undiagnosed and untreated.</t>
  </si>
  <si>
    <t>This project has successfully launched two new disorders (SMA and X-ALD) on the newborn screening blood spot panel, an additional three disorders over the term of the project are pending with Pompe next in line followed by other lysosomal disorders.  An amendment was done to move Personnel costs budgeted from January 1, 2025, onward into other costs to support the scope of work deliverables.  Recent meetings with the Nevada State Public Health Laboratory led to an updated spend plan and a quarterly meeting and discussion of a possible site visit date will be scheduled soon. A site visit was completed in July and no findings or corrective action were issued.</t>
  </si>
  <si>
    <t>One time funding</t>
  </si>
  <si>
    <t>Partial equipment purchases have been completed and testing in in process for X-ALD with an estimated launch date of late September.</t>
  </si>
  <si>
    <t>All of the award; newborn screening is an evidence based intervention.</t>
  </si>
  <si>
    <t>22BHSTF01a</t>
  </si>
  <si>
    <t>DPBH STAFFING for ARPA Reporting-SFY23</t>
  </si>
  <si>
    <t>23FRF32231</t>
  </si>
  <si>
    <t>Three interim full-time positions and one part-time contractor to assist with ARPA Fiscal Activity and Grant Reporting.</t>
  </si>
  <si>
    <t>The Division has received extraordinary amounts of federal COVID grant funds since the beginning of 2020. These positions  provided additional support to ensure implementation of all awards will not be delayed in SFY23.</t>
  </si>
  <si>
    <t>These positions assisted the division in redistributing the workload due to the continued impact of COVID-19.  It was critical that administrative staff be added to the public health workforce to perform daily work.</t>
  </si>
  <si>
    <t>Project complete</t>
  </si>
  <si>
    <t>Indirect cost and Cost Allocation.</t>
  </si>
  <si>
    <t>22BHCGM01</t>
  </si>
  <si>
    <t>CONTRACT MANAGEMENT SYSTEM</t>
  </si>
  <si>
    <t>22FRF32231</t>
  </si>
  <si>
    <t>To move to an electric contract management system that optimized the processes for all stakeholders.</t>
  </si>
  <si>
    <t>Implementation of a new electronic contracting management system will allow for efficient processing of all the new contracts needed for implementing the approved COVID initiatives.</t>
  </si>
  <si>
    <t>The electronic contract management system will optimize the processes for all stakeholders. It will allow the division to improve the contract process to increase overall effectiveness and efficiency.</t>
  </si>
  <si>
    <t>A project extension request was sent to the GFO for review and approval.  This request will extended the project into SFY25. An extension was requested and approved for this project to go through SFY.26</t>
  </si>
  <si>
    <t>On going cost for the system will be Indirect cost and Cost Allocation.</t>
  </si>
  <si>
    <t>22BHSTF01b ($0 REPORTED ON GFO WORKBOOK)</t>
  </si>
  <si>
    <t>Fiscal Staff - FY24</t>
  </si>
  <si>
    <t>The Division has received extraordinary amounts of federal COVID grant funds since the beginning of 2020. These positions will provide additional support to ensure implementation of all awards will not be delayed in SFY24.</t>
  </si>
  <si>
    <t>This budget revision and performance period extension request is to transfer $404,873 from 24INTFP01 to 22BHSTF01 and to extend the project through March 31, 2027. The division’s multiple ARPA projects are expected to continue through December 2026 with final reporting due by March 31, 2027. Continuation of the positions are needed to complete the work associated with the funding. Without the positions, division staff would be required to take on additional duties and current capacity does not allow for that.</t>
  </si>
  <si>
    <t>The DPBH and GFO are working together to extend this project through March 31, 2027. Additional funds are being transferred to support the extension. All funds for this project are projected to be fully utilized.</t>
  </si>
  <si>
    <t>22BHSTF01c</t>
  </si>
  <si>
    <t>Fiscal Staff - FY25</t>
  </si>
  <si>
    <t>The Division has received extraordinary amounts of federal COVID grant funds since the beginning of 2020. These positions will provide additional support to ensure implementation of all awards will not be delayed in SFY25.</t>
  </si>
  <si>
    <t>22BHSTF01d ($0 REPORTED ON GFO WORKBOOK)</t>
  </si>
  <si>
    <t>Fiscal Staff - FY26</t>
  </si>
  <si>
    <t>The Division has received extraordinary amounts of federal COVID grant funds since the beginning of 2020. These positions will provide additional support to ensure implementation of all awards will not be delayed in SFY26.</t>
  </si>
  <si>
    <t>24INTFP01</t>
  </si>
  <si>
    <t>10 intermittent fiscal staff in L01 -  E226</t>
  </si>
  <si>
    <t>To support ten intermittent State FTEs to relieve the administrative burden of increased workloads of state, federal, and ARPA grant and fiscal management activities</t>
  </si>
  <si>
    <t xml:space="preserve">These positions will provide adequate response-ready public health workforce implementation and will assist the division with redistributing DPBH’s workload due to COVID-19. </t>
  </si>
  <si>
    <t>Project will continue with current funding stream and performance period ending 06/30/2026</t>
  </si>
  <si>
    <t>The project ends June 30, 2026. Any remaining funds will be transferred to the DPBH Jail Based program and the 22BHSTF01 project (Fiscal staff in BA 3223).</t>
  </si>
  <si>
    <t>23RHSCC01</t>
  </si>
  <si>
    <t xml:space="preserve">Comprehensive Reproductive Health Services </t>
  </si>
  <si>
    <t>23FRF32241</t>
  </si>
  <si>
    <t xml:space="preserve">Support reproductive health services for Community Health Services, Carson City Health and Human Services, Northern Nevada Health District and Central Nevada Health District. </t>
  </si>
  <si>
    <t xml:space="preserve">Supports family planning  activities not fully funded by Title X in rural Nevada, Washoe County and Carson City. </t>
  </si>
  <si>
    <t xml:space="preserve">Continue to provide family planning and reproductive health services to underserved and uninsured communities outside of Clark County. </t>
  </si>
  <si>
    <t xml:space="preserve">ARPA funding supports reproductive health services under Community Health Nursing (CHN) and CHN subgrants to three other reproductive health service programs, Carson City Health and Human Services (CCHHS), Central Nevada Health District (CNHD), and Northern Nevada Public Health (NNPH). </t>
  </si>
  <si>
    <t>Title X award is partially funded at 40% of current grant period (4/1/24 -3/31/25).</t>
  </si>
  <si>
    <t>NO</t>
  </si>
  <si>
    <t>23HCWSS02</t>
  </si>
  <si>
    <t>Health Care Workforce Scholarships and Staff Support</t>
  </si>
  <si>
    <t>24FRF32341</t>
  </si>
  <si>
    <t>Fund Scholarships to increase the State's health care workforce and provide contract support staff.</t>
  </si>
  <si>
    <t>$4,795,725 for Health Care Workforce Scholarships to include Community Health Workers, Clinical Rotations, Doulas, Medical Assistants, and Training Scholarships. $112,000 for J-1 Visa Scholarships will be administered directly by DPBH. $586,575 for contractual line items will be retained by DPBH.</t>
  </si>
  <si>
    <t>Currently have given out a total of 23 Scholarships for both the Spring 2025 and Fall 2025 rounds of funding. Healthy Communities Coalition- In total have had 87 applications with 80 accepted. Current running total for all certifications completed is 33 CHW I, 3 CHW II. UNR Integration- New group of 2nd year students. 4 Student Ambassadors completed their CHW I certification, bringing the total number of eligible CHW I student ambassadors to 6. UNR CASAT- The next cohort will begin October 2025.</t>
  </si>
  <si>
    <t>23IBCLC02</t>
  </si>
  <si>
    <t xml:space="preserve">International Board Certified Lactation Consultants </t>
  </si>
  <si>
    <t>24FRF32342</t>
  </si>
  <si>
    <t>Funding to train lactation consultants</t>
  </si>
  <si>
    <t>RFA released December 29, 2023, to subaward $666,000 for Lactation Consultants. Funding determinations will be made by February 27, 2024, with subawards to be issued thereafter for a project period of March 1, 2024 – November 30, 2026.  </t>
  </si>
  <si>
    <t>19 scholarships were distributed from January 7, 2025, to May 1, 2025. 4 people have completed their training. One person has completed their certification. The other 3 people will be taking their certification exam in July. All 34 awardees are still in process of completing their courses. Currently trying to secure another hospital location for mentees in Southern Nevada. 7/24/2025 UNLV 19 scholarship recipients.</t>
  </si>
  <si>
    <t>22LCSFD01</t>
  </si>
  <si>
    <t>LAKES CROSSING - FOOD SERVICE</t>
  </si>
  <si>
    <t>22FRF36451</t>
  </si>
  <si>
    <t>The Lakes Crossing Center Food Category</t>
  </si>
  <si>
    <t>This project provided funding as it relates to food expenditures for the clients at Lakes Crossing Center</t>
  </si>
  <si>
    <t>Academics: eight students have completed their respective programs. Four advanced certificate, three PSS, and one practicum placement. UNLV BeHere Scholars- 152 applications received for the Advanced Scholarship; 35 were eligible for review. Nevada Primary Care Association (NVPCA)- 6 preceptors received certificates of completion since January 2025. In addition to the paid medical assistant learner seat, we have provided the following stipends to health centers to support their program. Each stipend is half of the total amount per learner. The second half will be provided when each learner completes the program. 7/24/2025 Health Communities Coalition 34 scholarship recipients. 3 CHW II, 11 in progress for CHW II. UNR Larson 20 scholarship recipients CHW, 20 scholarship applicants accepted, 9 English Doula, 10 Spanish Doula scholarship recipients. UNR integration 11 CHW and 11 Medical Students and 1 preceptor participated in last ROC. Nevada Primary Care Association 4 health centers are currently participating with each having trained 6 preceptors. 3 MA trainees received certificates. 1 scholarship was distributed last quarter. High Sierra AHEC 13 scholarships. Total of 23 Scholarships given out for Spring and Fall 2025. UNR CASAT 64 scholarship recipients. UNLV BeHere 12 scholarship recipients. UNR Resilience Total of 3 - 2 MPH students and 1 certificate program student 2 - Online MPH, 1 Certificate program.</t>
  </si>
  <si>
    <t>Complete</t>
  </si>
  <si>
    <t>Washoe</t>
  </si>
  <si>
    <t>23LCCMS01</t>
  </si>
  <si>
    <t>Lakes Crossing Camera System</t>
  </si>
  <si>
    <t>23FRF36451</t>
  </si>
  <si>
    <t xml:space="preserve">This project upgrades the camera system and control room. </t>
  </si>
  <si>
    <t>This project upgrades and expands the existing camera control system along with structural changes to aid in the security and increased observation of high acuity clients.</t>
  </si>
  <si>
    <t>The Video Surveillance and Access Control project is nearing completion, with Closeout Documents planned for May 2, 2025. However, the Final Inspection is to be determined as there are multiple items that have been delayed or needed correction or troubleshooting from the initial Punch Walk. The Test and Balance was completed on 4/1/2025 and received verbal approval, still awaiting the report. HMI/PCL completion is still being worked on with project completion unknown at this time. Troubleshooting for the Duress system is in progress to determine a cause of malfunction/defective receivers. Light fixtures for the Chart Room are awaiting shipment, which was delayed, and we are awaiting shipping confirmation for 3 cameras to be installed in identified blind spots. Workstations for the Lieutenant and Nursing office are pending delivery with no confirmed received date.  A request to extend the performance was submitted to the ARPA team, and approved, to provide additional time to complete final project tasks.</t>
  </si>
  <si>
    <t>One Time Project</t>
  </si>
  <si>
    <t>24FRPOS01</t>
  </si>
  <si>
    <t>Forensic Professional Services - Lake Crossing</t>
  </si>
  <si>
    <t>24FRF36452</t>
  </si>
  <si>
    <t>Funding to hire additional professional staff to provide evaluations at Lake's Crossing Center and Stein</t>
  </si>
  <si>
    <t>This project provides funding to allow forensic facilities to bolster their inpatient and outpatient programs to decrease waitlist.</t>
  </si>
  <si>
    <t xml:space="preserve">Recruitment efforts continue to fill the specialized clinical positions required for forensic services. To date we have hired 17 clinical staff under ARPA funds who are active in client treatment and restoration. Contract professional staff will continue to expand forensic services as funding allows.  </t>
  </si>
  <si>
    <t>23CYRMC01</t>
  </si>
  <si>
    <t>DPBH - Children and Youth Rural Mobile Crisis Response Team</t>
  </si>
  <si>
    <t>23FRF36481</t>
  </si>
  <si>
    <t xml:space="preserve">To expand, sustain and improve the current Rural Mobile Crisis Response Team by aligning with statewide efforts related to 988, the National Crisis Now Model and the Medicaid Expansion Mobile Crisis Planning Grant.  The ARPA funds awarded will provide funding for a pilot project for a 27-month period (through 12/31/24), which will provide two in-person, peer lead mobile crisis response teams in Elko County. The pilot project will allow Rural Clinics to assess if this type of service could be sustainable in rural communities.  The ARPA funding will provide for 2 contract Consumer Services Assistants (peer support) and 2 contract Psychiatric Case Managers.  These positions would allow for 2 in-person teams available to respond.  Cell phones and iPads will be part of the team’s equipment and will allow the families to sign consent forms via DocuSign as well as connect with the crisis clinician via telehealth.  The project has not officially started, Rural Clinics is in the process of obtaining quotes to order iPad and cell phones needed for the team.  The 4 positions will be filled with temp employees once the equipment is received. </t>
  </si>
  <si>
    <t xml:space="preserve">The entire population of children and youth in Nevada were exposed to behavioral stressors due to the pandemic.  Due to this increased pressure on our health care and behavioral health systems, more children, youth, families and adults had unmet behavioral health needs across Nevada’s communities and youth were lingering in emergency departments for long periods of time due to overcrowded higher levels of care.  There was also increase pressures within child welfare and juvenile justice systems.  Mobile Crisis funds are helping youth and families to access to 24/7 mental health crisis care. </t>
  </si>
  <si>
    <t xml:space="preserve">Currently, along with the above concerns, there is a cost of unemployment due to a youth’s behavioral healthcare needs.   Currently there are no in-person crisis response services in Elko County.  This pilot program, funded through ARPA monies, provides an opportunity to build crisis services that would qualify for the Medicaid Expansion reimbursement rate and in-turn help build more robust response and stabilization services to help combat the increased pressure on the behavioral health system due to the pandemic.  Currently, this program includes (Michelle – please indicate the staffing purchased with these funds) </t>
  </si>
  <si>
    <t xml:space="preserve">This project ran successfully from April 2023-June 2025.  Data shows mobile crisis calls in Elko County increased 51.7% since the pilot program started in April 2023, as compared to the same time frame from the prior year. </t>
  </si>
  <si>
    <t>Completed, pending final invoices</t>
  </si>
  <si>
    <t>Medicaid will be billed when possible for the crisis services and a budget enhancement will be requested.</t>
  </si>
  <si>
    <t>23LRHA01d</t>
  </si>
  <si>
    <t>Local &amp; Regional Authorities SNHD</t>
  </si>
  <si>
    <t>3223/34</t>
  </si>
  <si>
    <t>23FRF32232</t>
  </si>
  <si>
    <t>Southern Nevada Health District staff and operations reimbursement</t>
  </si>
  <si>
    <t>This funding will be used to cover 12-months of revenue to support the staff salary and fringe to offer environmental health services in Clark County.</t>
  </si>
  <si>
    <t>These investments will better allow each public health agency to continue to support the COVID response and recovery and position themselves to be better equipped to handle other public health needs in the coming years.</t>
  </si>
  <si>
    <t>23LRHA01a</t>
  </si>
  <si>
    <t xml:space="preserve">Local &amp; Regional Authorities Washoe </t>
  </si>
  <si>
    <t>Northern Nevada Public Health design and construction of a Tuberculosis Clinic</t>
  </si>
  <si>
    <t>Funding will support the design and construction of a Tuberculosis Clinic, and other Public Health or Community and Clinical Health Services offices to serve the residents of Washoe County.</t>
  </si>
  <si>
    <t>Project is currently on time and on budget for the Tuberculosis Clinic with Certificate of Operation set for January 2026 and patients being served by February 2026.</t>
  </si>
  <si>
    <t>23LRHA01b</t>
  </si>
  <si>
    <t xml:space="preserve">Local &amp; Regional Authorities Carson </t>
  </si>
  <si>
    <t>Carson City Health and Human Services to increase staff capacity and address growing community health needs.</t>
  </si>
  <si>
    <t>Enhance Carson City Health and Human Services (CCHHS) public health workforce infrastructure by hiring personnel to perform duties needed to increase public health services to the residents served by CCHHS.</t>
  </si>
  <si>
    <t>The following positions have been filled in September 2024: Fiscal Analyst, Mosquito Abatement Personnel, and Public Health Nurse. The Data Analyst and Assessment Coordinator has been retained. 4/2/2025 All positions have been retained except environmental specialist, shared on NVhealthforce.org to help fill those positions.</t>
  </si>
  <si>
    <t>23LRHA01c</t>
  </si>
  <si>
    <t>Local &amp; Regional Authorities Churchill</t>
  </si>
  <si>
    <t>Central Nevada Health District formation and Satellite Public Health Laboratory</t>
  </si>
  <si>
    <t>Central Nevada Health District will facilitate construction activities to establish a new building that will house a satellite public health laboratory, and provide public health services to residents in central Nevada.</t>
  </si>
  <si>
    <t>The remaining $600k (37.62% of funds) is for remodeling of the new CNHD facility. Architect is drawing remodel plans and obtaining engineering evaluation. Approximately 95% of the architectural drawings are completed.  Expenses are planned to resume April/May 2024 once architect has completed work. CCSS goal is building will be completed in next 12 months. A quarterly spend-plan has been requested and will receive monthly updates starting April 2024. 10/5/2024: In August 2024 CNHD Administrator provided feedback on drawings. Architects met with City of Fallon on requirements and permitting to be included. TOPO Surveying as required for project, engaged contractor for asbestos testing, scheduled opening of walls for architect to complete structural inspection on 8/15/24 with architects. Rehabilitation and timelines for lab have been complete and an updated testing menu has been determined. SOW will be updated to reflect CCSS and CNHD co-location upon GFO approval. 4/2/2025 Recent request to GFO to update the Scope. Proceed with the colocation of the Central Nevada Health District (CNHD) and the Public Health Laboratory. Ensure relocation of Churchill County Social Services from the site proposed for the CNHD/lab by acquiring buildings in another location.</t>
  </si>
  <si>
    <t>22MEDEX01</t>
  </si>
  <si>
    <t>MEDICAID ELIGIBILITY SYSTEM MOD'S (EX-PARTE)</t>
  </si>
  <si>
    <t>22FRF32281</t>
  </si>
  <si>
    <t>The project includes modifying the current Medicaid renewal process to support ex-part renewal, also known as, auto renewal, passive renewal or administrative renewal.</t>
  </si>
  <si>
    <t>23ACNVM01</t>
  </si>
  <si>
    <t>ACCESS NEVADA MODERNIZATION - NWD</t>
  </si>
  <si>
    <t>23FRF32284</t>
  </si>
  <si>
    <r>
      <rPr>
        <sz val="11"/>
        <color rgb="FF000000"/>
        <rFont val="Calibri"/>
        <family val="2"/>
        <scheme val="minor"/>
      </rPr>
      <t>This project provides modernization to the legacy Access Nevada on-premises infrastructure to a cloud-based solution that will result in a single web portal platform for the No Wrong Door (NWD) solution. The NWD solution is envisioned to embrace the “no wrong door” approach by providing the Department of Health and Human Services (DHHS) clientele, across all five (5) divisions, a single web portal to apply for assistance, as well as view case information and self-report demographic and life events changes. The portal, housed within the Division of Welfare and Supportive Services (DWSS), will allow an individual to complete a short pre-screener questionnaire to discover what services may be available, apply for specific programs and automatically route the applicant’s case information to the appropriate DHHS agency office(s) where the appropriate Division program staff will provide eligibility determinations or other appropriate services and supports</t>
    </r>
    <r>
      <rPr>
        <sz val="10"/>
        <color rgb="FF000000"/>
        <rFont val="Arial"/>
        <family val="2"/>
      </rPr>
      <t>.</t>
    </r>
  </si>
  <si>
    <t xml:space="preserve">No Wrong Door Project Green status:  All funding is projected to be expended by June 30, 2026.  All fund obligated will be spent with in the contract of this project.  Current M&amp;O efforts include regular weekly meetings to address Change Request 10 which updates Access Nevada with 6 additional languages. All development has been completed and UAT testing is currently moving through 75% tested on track for planned promote activities. Additional automation tools in UAT have been deployed to allow for more comprehensive regression testing. ACNE-Live M&amp;O.  All funding is projected to be expended by June 30, 2026.  
. </t>
  </si>
  <si>
    <t>Completed less than 75%</t>
  </si>
  <si>
    <t>One Time Funding for Development and Maintenance &amp; Operation is a Budget Request</t>
  </si>
  <si>
    <t>May 2025 Monthly Project Update: EP-10126 - No Wrong Door
Status: Green
In May, we focused on prioritizing remaining UAT enhancements for future M&amp;O promotions, with a successful production promote addressing 10 bugs on May 16. CR10, including additional languages, saw Propio delivering translations on May 23, 2025, and SIT deliverables approved by DWSS OPS with an expedited request to address missing translations, ensuring no timeline impact.
The M&amp;O Month 4 report is expected by EOD; meanwhile, the DWSS Privacy Policy has been updated, awaiting further division input before production updates. Additionally, the Inter-Tribal Council of Nevada WIC has shown interest in joining the application process.</t>
  </si>
  <si>
    <t>23NOMAD01a</t>
  </si>
  <si>
    <t>NOMADS UPDATE - CONTRACTS - MAINFRAME MODERNIZATION</t>
  </si>
  <si>
    <t>23FRF32281</t>
  </si>
  <si>
    <t>NOMADS application currently has many components on the State's mainframe hardware. This project will remove the remaining 25-year-old NOMADS components from the mainframe and place them on DWSS's modern platforms using modern program languages. This modernization will allow DWSS to be more agile and responsive to the critical needs of our customers.</t>
  </si>
  <si>
    <t xml:space="preserve">Mainframe Modernization - Status Green: Funds have been obligated and currently being expensed per the approved project delivery contract with vendor. Currently Phase I is complete and maintenance and operation efforts are correcting production defects in preparation for Phase II which was delivered from SIT testing by Deloitte and is activity developed and being prepared for DSS UAT testing starting in September 2025. Phase II is on track as planned. Phase III has begun its parallel planning cycle with the vendor to address decommissioning efforts which will take place in June of 2026. Contract Extension being submitted for approval to address Production Support Phase II, Phase III for 6 months to stabilize batches, payments, Federal interface validation and decommissioning of NOMADS through 12/30/2026. All funding is projected to be expended by December 30, 2026 upon approval of contract extension. 
</t>
  </si>
  <si>
    <t>Completed more than 50%</t>
  </si>
  <si>
    <t>The Mainframe Modernization project is currently in a green status. Phase I (EP-10149) was completed in January 2025. Scheduled promotions include a release on June 13, 2025, addressing eight bug fixes, and a carry-forward emergency release set for May 30, 2025, with M&amp;O anticipated to conclude on June 30, 2026. Phase II (EP-10223) is currently in development, focusing on SIT and UAT environment upgrades, involving DWSS Ops and Deloitte. The project has seen the onboarding of Deloitte CA workload consultants, completion of quarterly region refreshes by the DBA team, and CA workload training for OPS, DBA, and UAT teams. A DSD release is scheduled for May 30, 2025, with SIT expected to begin in July 2025, early UAT in September 2025, and production slated for January 2026. Meanwhile, a UAT testing freeze is in place for other projects. Phase III is pending and will include a database migration to AMPS and decommissioning of NOMADS, performed by the DBA and Ops teams, after June 2026. Project is anticipated to  be completed by calendar 2026 year end.</t>
  </si>
  <si>
    <t>23YTHHM01</t>
  </si>
  <si>
    <t>YOUTH HOMELESSNESS STUDY</t>
  </si>
  <si>
    <t>23FRF32331</t>
  </si>
  <si>
    <t>The funding request for $500,000 ( $250,000 per year for two years) will cover the cost of researchers, incentives and research tools to conduct a statewide one-time study on youth homelessness which will explicitly include LGBTQ+ youth. The study will be designed to understand the prevalence, characteristics and intervention needs of youth experiencing homelessness, the current system supports and financial structure, and the system gaps that need to be addressed to better serve Nevada’s youth. The need to serve Nevada’s youth experiencing homelessness was highlighted by the pandemic as issues facing these youth were increased and services available were more difficult to access.</t>
  </si>
  <si>
    <t>The environmental scan and study design, the Preliminary Statewide System Map with county profiles and the final report have been completed. The final report has been posted to the Division's website. The project contracted ended June 30, 2025.</t>
  </si>
  <si>
    <t>It is anticipated that the entire amount will be expended. The new service agreement (1/1/2024-06/30/2025) was approved at BOE in February. The Homeless Youth Study project is completing key activities timely and in accordance with the scope of work. Currently, the project is on track to be completed by the end of the new service agreement (06/30/2025). The core team, steering committee, study design committee have been established and are meeting on a regular basis. A website was developed and launched. The environmental scan and study design has been finalized. The initial site visits and Preliminary Statewide System Map with county profiles have been completed. The final data collection took place in early 2025 and the draft of the final report has been reviewed and the suggested changes are now being incorporated into the final document.
Project is anticipated to  be completed by state fiscal 2025 year end.</t>
  </si>
  <si>
    <t>22ELYCP01</t>
  </si>
  <si>
    <t>CRG - Ely Co-op Magic Carpet Preschool</t>
  </si>
  <si>
    <t xml:space="preserve">The ARPA award will be sub-awarded to the Ely Co-Op Preschool (aka, Magic Carpet Preschool) to perform all work/services. Magic Carpet Preschool is the only licensed preschool in the area that is not income based and meets a critical need for local families. This funding will facilitate the provision of child care services to up to 48 students ages 2.5 - 6 years, from all ethnic backgrounds, including the Ely Shoshone tribe. </t>
  </si>
  <si>
    <t xml:space="preserve">This request supports the Governor's objective of improving child care across Nevada. The objective is to help the Magic Carpet Preschool, which is situated in a very rural area of Nevada, so the facility can increase enrollment from 35 to their licensed capacity of 48 students. </t>
  </si>
  <si>
    <t>DWSS Child Care and Development Program completed an on-site monitor of the Ely subaward in June 2024 to ensure compliance with the project scope of work and to ensure it met the intent of the awarded funds.</t>
  </si>
  <si>
    <t>Ely Co-op Magic Carpet Preschool has utilized their full award.</t>
  </si>
  <si>
    <t>Child Care</t>
  </si>
  <si>
    <t>23CHDIF01</t>
  </si>
  <si>
    <t>Childcare Infrastructure Grants</t>
  </si>
  <si>
    <t>22FRF32671</t>
  </si>
  <si>
    <t>Child Care emerged as one of the top priorities for Nevadans during recovery from the public health emergency (PHE) in order to get people back to work. There is only enough capacity to serve approximately 14% of the estimated number of children needing care. Approximately 342,995 of the estimated 390,155 children in Nevada who are 11 years old or younger may be in need of child care. There are only 47,160 seats estimated available today.</t>
  </si>
  <si>
    <t>To assist child care providers with the ability to expand their capacity to serve additional children by expanding existing facilities or building new facilities</t>
  </si>
  <si>
    <t>DWSS is working with the Governor's Finance Office, the Department of Health and Human Services, and an external contractor which specializes in federal construction/capital procurement regulations, enforcement, and associated evaluation of expenditures and activities.</t>
  </si>
  <si>
    <t xml:space="preserve">
These funds are obligated to 17 subrecipients to complete 18 childcare facilities.
o 5 Facilities are completed, open and serving children.  532 Net child care slots have been added
o 7 Facilities are over 50% completed
o 3 Facilities have begun construction but are less than 50% complete
o 1 Facility has not yet broken ground but has confirmed completion date prior to 
September 30, 2026
o 2 Facilites are temporarily halted pending DAG advice.
The Division is closely monitoring activity for all 18 childcare projects and is on track to spend down this award on time.
Project is anticipated to  be completed by September 30, 2026</t>
  </si>
  <si>
    <t>532 Child Care Slots added due to 1 facilities temporary closure</t>
  </si>
  <si>
    <t>These funds are obligated to 17 subrecipients to complete 18 childcare facilities.
o 5 Facilities are completed, open and serving children.  532 Net child care slots have been added
o 7 Facilities are over 50% completed
o 3 Facilities have begun construction but are less than 50% complete
o 1 Facility has not yet broken ground but has confirmed completion date prior to 
September 30, 2026
o 2 Facilites are temporarily halted pending DAG advice.
The Division is closely monitoring activity for all 18 childcare projects and is on track to spend down this award on time.
Project is anticipated to  be completed by September 30, 2026</t>
  </si>
  <si>
    <t>23CHDSB01</t>
  </si>
  <si>
    <t>Childcare Subsidy Grants</t>
  </si>
  <si>
    <t>The proposal is to use this $50 million so all subsidy-eligible households can receive 100% subsidy coverage with the ARPA FRF paying for the required copay portion for each eligible family. Child care subsidy is available for eligible children ages 0-12 years. Funds will be sub-awarded to Nevada's Child Care Resource and Referral agencies currently performing eligibility and subsidy application processing on behalf of the state. The average estimated subsidized cost of child care is $13,931 per year per child for full-time care and that does not include the amount a household is required to pay as a copayment (averaged at $5,066 per year per child). Estimates are based on an average household of four (4) people with an annual income of $72,378. Current average caseload for the subsidy program is 6,480 children.</t>
  </si>
  <si>
    <t xml:space="preserve">DWSS was able to provide co-payments to approximately 14,500 children for 13 months. </t>
  </si>
  <si>
    <t xml:space="preserve">This project is connected to families receiving federal child care subsidy assistance which has an income limit for those families making up to 85% of the state's median income for their household size. This naturally ensures the funds are being used to serve those most impacted by the Pandemic and ongoing economic recovery which is stalled due to the need for more child care. </t>
  </si>
  <si>
    <t xml:space="preserve">DWSS has fully expended available co-payment funds. </t>
  </si>
  <si>
    <t>24CAMR01</t>
  </si>
  <si>
    <t>Camera Security Replacement Projects - Summit View Youth Center and Northern Nevada Youth Center</t>
  </si>
  <si>
    <t>24FRF13831</t>
  </si>
  <si>
    <t>This request includes the replacement of the current functional and non-functional video devices with new cameras, mounts and recording servers.  This is an urgent need to get the system federally compliant.</t>
  </si>
  <si>
    <t>The contract for Northern NV Youth Center (NYTC) camera system in the amount of $237,331 was approved at the 7/9/24 BOE meeting with an anticipated completion date of 12/31/24.  The quote for Summit View's camera system is $390,165.49 and the contract will be considered at the 12/10/24 BOE meeting, with an anticipated completion date of 3/31/2025.  In addition to the 2 contracts for the camera system, switches were needed and purchased for the NYTC Camera System.  The balance of the ARPA funding will be used to purchase body cameras at both facilities.</t>
  </si>
  <si>
    <t>23SPFWC01</t>
  </si>
  <si>
    <t>Washoe County SFC Rate increase -Retention of foster care providers through a temporary rate increase</t>
  </si>
  <si>
    <t>23FRF31411</t>
  </si>
  <si>
    <t>Retention of foster care providers through a temporary rate increase</t>
  </si>
  <si>
    <t>The balance was de-obligated via an allocation change form 10/10/23  - 100% Expended - FINALIZED</t>
  </si>
  <si>
    <t>ok</t>
  </si>
  <si>
    <t>22CCCWF01</t>
  </si>
  <si>
    <t>Clark County Child Welfare Higher Level of Care</t>
  </si>
  <si>
    <t>22FRF31421</t>
  </si>
  <si>
    <t>Funds six (6) beds in an intermediate care facility for children and youth with autism or intellectual and developmental delays who have behavioral needs such that they cannot be safely cared for in the community.</t>
  </si>
  <si>
    <t>As a result of reduction or elimination of in-home services and other community based services due to the pandemic, many children are now experiencing significant behavioral health issues, which has created an increased need for residential services tailored specifically to this population.</t>
  </si>
  <si>
    <t xml:space="preserve">Clark County has successfully completed this project and provided residential services for children and youth in need of behavioral and mental health services. </t>
  </si>
  <si>
    <t>23SPFCC01</t>
  </si>
  <si>
    <t xml:space="preserve">Clark County SFC Rate increase - Retention of foster care providers through a temporary rate increase </t>
  </si>
  <si>
    <t>23FRF31422</t>
  </si>
  <si>
    <t xml:space="preserve">Retention of foster care providers through a temporary rate increase. </t>
  </si>
  <si>
    <t>23MYAVT02</t>
  </si>
  <si>
    <t>DCFS - myAVATAR</t>
  </si>
  <si>
    <t>23FRF31431</t>
  </si>
  <si>
    <t>Upgrade to myAvatar, an electronic health record solution to improve efficiency in operations.</t>
  </si>
  <si>
    <t>Upgrade the Netsmart myAvatar to the NX platform to maintain security compliance and meet accreditation for the system utilized by our clinicians for reporting treatment and medications for the clients we serve.</t>
  </si>
  <si>
    <t>Allocation Change to De-obligate $48,000 was approved by the GFO ARPA Team  - 100% Expended - FINALIZED</t>
  </si>
  <si>
    <t>23UNITY01</t>
  </si>
  <si>
    <t>Unified Nevada Information  Technology  for Youth (UNITY) Replacement</t>
  </si>
  <si>
    <t>23FRF31432</t>
  </si>
  <si>
    <t>To contract the replacement of the Unified Nevada Information Technology for Youth (UNITY) system.</t>
  </si>
  <si>
    <t>Funds to replace the UNITY system which is Nevada's federally required electronic child welfare case management tool and holds the official case records for all children and families served by child welfare agencies
in Nevada.</t>
  </si>
  <si>
    <t>With the help of the UNITY Modernization Needs Assessment Project Vendor “KPMG LLP”, DCFS Information Services completed gathering the functional requirements for the below UNITY functional areas:
1)	Intake
2)	Assessment/Investigation
3)	Case Management
4)	Med Case Management/Treatment and Case Review
5)	Foster Care Services for App Licensing/Licensing Caseload and Resource Availability
6)	Placement Stability &amp; Permanency (Make, Maintain, Preserve Placement)
7)	Adoptions (Case Management of) and Independent Living
8)	Court Processing
9)	Eligibility
10)	Financial/Provider Management/Payment Processing
11)	Child, Guardians, Parents, Resources &amp; Collateral Profile Management
12)	Security
13)	Worker Workflows
14)	Data Management and Data Quality
15)	Forms
16)	System Interfaces
17)	Reporting and Analytics
Upcoming Workshop Schedule:
Juvenile Justice (Part 2) – Week of December 2nd
The vendor KPMG LLP provided DCFS the following deliverables (Deliverable Expectations Documents (DED) – 1st Draft) related to the Child Welfare Information System  which are currently being reviewed by the Stakeholders.
1.	Requirements
2.	Process Flows
3.	Matrix</t>
  </si>
  <si>
    <t>22SFNST01</t>
  </si>
  <si>
    <t>Safe Nest - Temporary Assistance for Domestic Crisis  under the Community Recovery Grant</t>
  </si>
  <si>
    <t>22FRF31452</t>
  </si>
  <si>
    <t>Provide therapy services to children and adult victims.</t>
  </si>
  <si>
    <t>This addition will allow the sub awardee, Safe Nest, to hire contract therapist hours needed to clear the waitlist for victim and children counseling, allowing the provision of an additional 1,600-1,800 counseling sessions in 2022.</t>
  </si>
  <si>
    <t xml:space="preserve"> 100% Expended. Safe Nest has successfully provided therapy and counseling to 1,718 child and adult victims of domestic violence. </t>
  </si>
  <si>
    <t>22SHDTR01</t>
  </si>
  <si>
    <t>Shade Tree - Community Recovery Grant</t>
  </si>
  <si>
    <t>22FRF31454</t>
  </si>
  <si>
    <t>Launch front line domestic violence crisis response team, provide special dietary needs, and create an infectious diseases preparedness plan.</t>
  </si>
  <si>
    <t xml:space="preserve">During the two years of the COVID-19 pandemic, The Shade Tree continued to provide emergency shelter and vital resources to Southern Nevada. We worked extremely hard to make necessary COVID-19 safety precautions, isolation units, provided testing and vaccinations all while employing staff to provide expert and professional victims’ resources to domestic violence victims, human trafficking victims and those experiencing homelessness. During this time, we saw a rise in domestic violence rates and partnered with LVMPD and partner organizations to address this increase. </t>
  </si>
  <si>
    <t>As our state and southern Nevada community recover from the pandemic, we have planned and propose three strategies at The Shade Tree 1) Job Creation 2) Frontline Crisis Response Team 3) COVID-19 (and other infectious diseases) Preparedness Plan.</t>
  </si>
  <si>
    <t xml:space="preserve"> 100% expended, project has been completed.  The Shade Tree has provided advocacy and services to 901 victims/survivors of domestic violence. In addition, they have improved the health of 1,138 victims/survivors and created 337 safety plans.  </t>
  </si>
  <si>
    <t>22SONSM01</t>
  </si>
  <si>
    <t>Special Olympics Strong Minds - Community Recovery Grant  - Amendment#1 extended the end date from 6/13/2025</t>
  </si>
  <si>
    <t>22FRF31453</t>
  </si>
  <si>
    <t>For students to participate in the  "Strong Mind" program, an interactive learning activity focused on developing adaptive coping skills to prevent self-harm.</t>
  </si>
  <si>
    <t xml:space="preserve">The COVID-19 pandemic has been shown to have had negative impacts on the mental health of students in Nevada. SONV intends to support the state in addressing the critical mental health issues. </t>
  </si>
  <si>
    <t xml:space="preserve">Interactive learning activity focused on developing adaptive coping skills. </t>
  </si>
  <si>
    <t xml:space="preserve">Final RFR submitted to GFO ARPA team on 7/28/25. This project has been fully expended. An extension thru 6/30/2025 was approved by the GFO ARPA Team. Agency encountered delays in getting the part-time/intern support but have identified two candidates and have travel planned for a couple of Northern NV events in the next couple of months. To date, Special Olympics has implemented the Strong Minds curriculum in 15 schools and 1 community organization. </t>
  </si>
  <si>
    <t>22VOCSP01</t>
  </si>
  <si>
    <t>VICTIMS OF CRIME SERVICE PROVIDERS  - Amendment #1 extend from date 12/31//2024 to 6/30/2025</t>
  </si>
  <si>
    <t>22FRF31451</t>
  </si>
  <si>
    <t xml:space="preserve">Sub-award to Victims of Crime Service Providers to provide level funding to Victim of Crime Act (VOCA) Assistance grant subrecipients.  </t>
  </si>
  <si>
    <t xml:space="preserve">VOCA grant funding has decreased significantly over the last three years.  This funding will assist Nevada to maintain victim services across the state. </t>
  </si>
  <si>
    <t xml:space="preserve">Continue to provide support to victims of crime in Nevada. </t>
  </si>
  <si>
    <t xml:space="preserve">Final RFR submitted to GFO ARPA team on 7/28/25. This project is pending close out. Funding was awarded to 11 agencies to provide advocacy, case management and other services for victims of crime. </t>
  </si>
  <si>
    <t>23CAPWC01</t>
  </si>
  <si>
    <t>Child Assault Prevention of Washoe County - Elementary Child Abuse Awareness Workshop - Community Recovery Grant</t>
  </si>
  <si>
    <t>23FRF31452</t>
  </si>
  <si>
    <t xml:space="preserve">Expansion of the child self-protection workshops into Elko and Mineral County schools. </t>
  </si>
  <si>
    <t>The workshop teaches children how to recognize and get help for abusive situations they may encounter with bullies, strangers, internet predators, social media, and issues with safe/unsafe/ secret touching.</t>
  </si>
  <si>
    <t>CPS has reported an increase in reported abuse by 20% since pre-pandemic and expect to see this increase significantly over the next few years.</t>
  </si>
  <si>
    <t>On target to fully expend the award by 09/30/2025. CAP was able to hire and train 3 new workshop facilitators with ARPA funding.  They were also able to reach out more to our rural counties and present workshops in Storey, Lyon and Churchill Counties. During 2023-2024 we were able to present 195 workshops to 3,666 students.</t>
  </si>
  <si>
    <t>23CBYFS01</t>
  </si>
  <si>
    <t>Community Based, Youth Focused Beh. Health Services - Amendment #1 to extend from date 12/31/24 to 6/30/25</t>
  </si>
  <si>
    <t>23FR314520</t>
  </si>
  <si>
    <t>Sub-grants to mental health providers to provide social emotional learning and counselling services statewide.</t>
  </si>
  <si>
    <t>Strengthen the foundation of prevention services for Nevada’s youth and will increase access to behavioral health care by building out service delivery mechanisms in places where children and families go every day.</t>
  </si>
  <si>
    <t>The current behavioral/mental health workforce shortage crisis exacerbates the potential negative outcomes of a behavioral health need or crisis. This includes negative economic consequences,
such as increased spending on behavioral health care, expensive 24-hour care interventions, costs of emergency department care, increased use of the child welfare and juvenile justice systems.</t>
  </si>
  <si>
    <t xml:space="preserve">Final RFR submitted to GFO ARPA team on 7/28/25. This project is pending close out. $11,368.31 will be de-obligated. Funding was awarded to 5 agencies statewide to provide training and mental health services to youth. </t>
  </si>
  <si>
    <t>23CFPSP01</t>
  </si>
  <si>
    <t>Certified Family Peer Support Provider/Supervisor Workforce -Amendment #1 De - Obligation of $11463.00</t>
  </si>
  <si>
    <t>23FR314514</t>
  </si>
  <si>
    <t>Sub-grant Nevada PEP to develop a training and certification process in Nevada for Family Peer Support Providers to increase the professional workforce by advancing core competencies.</t>
  </si>
  <si>
    <t xml:space="preserve">A sustainable model will include: an application and family run organization enrollment process, credentialing manual; standardized training curriculum that incorporates nationally recognized core competencies, skill sets and technical assistance. </t>
  </si>
  <si>
    <t>There is a critical need to develop an efficient training and certification program unique to Nevada to increase the certified family peer support provider and supervisor workforce.</t>
  </si>
  <si>
    <t>Final RFR submitted to GFO ARPA team on 7/28/25. This project is pending close out.</t>
  </si>
  <si>
    <t>23CLKCW01</t>
  </si>
  <si>
    <t>Clark County Child Welfare - May need to request an extension</t>
  </si>
  <si>
    <t>23FR314510</t>
  </si>
  <si>
    <t>Clark County Clinical Division with a service array designed to meet youth behavioral, mental, health, intellectual, and developmental needs. This will include community-based assessments and treatment options to promote healthy development, preserve the family unit, continue engagement in education, and maintain the highest levels of funding.</t>
  </si>
  <si>
    <t xml:space="preserve">Clark County Clinical Division with a service array designed to meet youth behavioral, mental, health, intellectual, and developmental needs. </t>
  </si>
  <si>
    <t xml:space="preserve">A request for an extension from 06/30/24 to 06/30/26 was approved by the GFO ARPA team on 6/20/24. Per CCDFS, the extension was needed due to delays in filling positions and delays in finalizing the contract with a consultant to assist with setting up the Clinical Division within the county for phase one of this project.  Starting July 1, 2025 Clark County will start hiring the 2nd phase positions to add the direct clinical staff, peer support and secure a medical transportation contract. </t>
  </si>
  <si>
    <t>23CSHWP01</t>
  </si>
  <si>
    <t>COMMUNITY SCHOOL HEALTH AND WELLNESS PILOT PROGRAM</t>
  </si>
  <si>
    <t>23FR314515</t>
  </si>
  <si>
    <t>To establish a health and wellness-focused  pilot community schools model on four campuses.</t>
  </si>
  <si>
    <t>Identify (a) effective tiered intensification processes needed to develop health and wellness activities on a school campus and (b) effective interventions and programs to address children and family health and well-being variables.</t>
  </si>
  <si>
    <t>Provide full-time coordination of community schools activities on the school campuses, staff to implement out-of-school and integrated student support programs to address the health and wellness outcomes of children and families.</t>
  </si>
  <si>
    <t xml:space="preserve">Final RFR submitted to GFO ARPA team on 7/28/25. This project is pending close out. $23,614.64 will be de-obligated. </t>
  </si>
  <si>
    <t>23EDYHS01</t>
  </si>
  <si>
    <t>DCFS - Eddy House - Community Recovering Grant</t>
  </si>
  <si>
    <t>23FRF31453</t>
  </si>
  <si>
    <t xml:space="preserve">Eddy House will expand programs which will intervene and break the cycle of homelessness and poverty for these youth. Effective intervention and targeted services can prevent homeless youth from becoming chronically homeless adults. </t>
  </si>
  <si>
    <t>Eddy House proposes a Femme, Trans, Women, &amp; Non-Binary Transitional Living Home (FTWTL Home) for approximately six to ten individuals for stays of up to two years to empower women and other vulnerable individuals to achieve independence through a supported residential program</t>
  </si>
  <si>
    <t>The global pandemic amplified the already poor graduation rates, low employment rates, high acuity of mental health needs, high substance abuse, and widespread abuse our Transitional Aged Youth face every day.</t>
  </si>
  <si>
    <t xml:space="preserve">Final RFR submitted to GFO ARPA team on 7/28/25. This project is pending close out. Award was fully expended. </t>
  </si>
  <si>
    <t>23EMGCS02</t>
  </si>
  <si>
    <t>EMERGENCY FUNDING FOR CHILD AND FAMILY SERVICES  - Amendment #2 extended from date to 6/30/26</t>
  </si>
  <si>
    <t>23FR314521</t>
  </si>
  <si>
    <t>Crisis triage, residential treatment, and inpatient care services, and other currently non-billable services to youth  to ensure medically necessary treatment can be provided to those youth who continue to experience behavioral health crisis.</t>
  </si>
  <si>
    <t xml:space="preserve">Alleviate the urgent need for youth mental health services in Nevada resulting from COVID-19. As reported by the CDC, youth experiencing mental health issues may struggle with school and grades, decision making, and their health. </t>
  </si>
  <si>
    <t xml:space="preserve">Amendment #2- extended end date to 06/30/26. Funding has been obligated to 5 different projects. Contracts are in the process of being amended to add additional funding for acute psychiatric hospitalization care. </t>
  </si>
  <si>
    <t>23INLVY01</t>
  </si>
  <si>
    <t>INDEPENDENT LIVING YOUTH</t>
  </si>
  <si>
    <t>23FR314513</t>
  </si>
  <si>
    <t>To continue supplemental payments for Independent Living Youth through December 31, 2023 via subawards. Previously supported by Chafee Division X funds</t>
  </si>
  <si>
    <t xml:space="preserve">Youth with previous foster care experience to help mitigate the negative financial and socioeconomic impact caused by the Pandemic. </t>
  </si>
  <si>
    <t>Supplemental payments to mitigate the risk for homelessness, unemployment, adversely educationally impacted, with significant negative mental health impacts.</t>
  </si>
  <si>
    <t>Allocation Change to De-obligate was approved by the GFO ARPA Team on 10/10/23 - 100% Expended - FINALIZED</t>
  </si>
  <si>
    <t>23LVSRC01</t>
  </si>
  <si>
    <t>VEGAS STRONG RESILIENCY CENTER</t>
  </si>
  <si>
    <t>23FR314522</t>
  </si>
  <si>
    <t>A capital improvement project to provide a one stop shop for victims to receive wrap around support provided by Legal Aid Center of Southern Nevada.</t>
  </si>
  <si>
    <t>Provide capital improvements and temporary contract staff and associated costs for the Vegas Strong Resiliency Center.</t>
  </si>
  <si>
    <t>Based on an updated spending plan, the subrecipient determined that $401,607 originally designated for project oversight should be de-obligated,  Work Program 24FR31456T balanced forward the ARPA allocation remaining at the end of SFY 2023 minus the $401,607to be de-obligated.  Legal Aid Center of Southern Nevada has secured a building at 801 E. Charleston in Las Vegas. The building is a former bank and renovations are necessary and will include an additional building and parking.  Legal Aid Center has retained LGA Architecture to designed concept drawings that expand on the footprint of the existing building that meets the needs of the new building while keeping the historic design attributes.  A historical consultant has also been retained to document the current building for establishing a permanent historical record.  Procurement complete and bids are in.  Finalized 8 to 11 of 22 contracts continuing to work to select the lowest responsible bidder. Timeline for remainder of the 22 contracts to be finalized is by May 16. Legal Aid is trying to stay ahead of tariff issues and most contracts are using materials/equipment sourced domestically.   HVAC, electrical switch gear. -switch gear is about a $2m deposit once order is placed, expect additional deposits or payments to be made as contractors order materials for project. Have a solid 302 day construction timeline with the contractor.  Expect to be completed by August 2026. Construction completion anticipated by May 2026) with project completion by August 2026
Based on an updated spending plan, the subrecipient determined that $401,607 originally designated for project oversight should be de-obligated,  Work Program 24FR31456T balanced forward the ARPA allocation remaining at the end of SFY 2023 minus the $401,607to be de-obligated.  Legal Aid Center of Southern Nevada has secured a building at 801 E. Charleston in Las Vegas. The building is a former bank and renovations are necessary and will include an additional building and parking.  Legal Aid Center has retained LGA Architecture to designed concept drawings that expand on the footprint of the existing building that meets the needs of the new building while keeping the historic design attributes.  A historical consultant has also been retained to document the current building for establishing a permanent historical record.  
On April 9, 2024, the first community meeting with surrounding neighbors to ensure they were aware of the new project and to elicit valuable feedback that could be integrated into the design to ensure it is a valued community asset and place of healing. 
Legal Aid Center is currently receiving bids for demolition of parts of the existing site. Special care is being taken to preserve the architecturally significant pieces of the building, such as the Brise Soleil on the east face of the building and the unique brickwork, both of which will be reinstalled in the new structure. Demolition is expected to start/end June-August 2024.</t>
  </si>
  <si>
    <t>23NWFEO01</t>
  </si>
  <si>
    <t>Nursing Workforce Educational Opportunity</t>
  </si>
  <si>
    <t>23FR314517</t>
  </si>
  <si>
    <t>Develop and enhance the nursing workforce to address unprecedented medical workforce shortages through providing scholarships to eligible Nevada Registered Nurses to enter a nationally accredited APRN program.</t>
  </si>
  <si>
    <t>Nevada is experiencing unprecedented medical workforce shortages in medicine, nursing, and behavioral health. 1.9 million Nevadans reside in a primary care Health Professional Shortage Area (HPSA) or 67.3% of the state's
population.</t>
  </si>
  <si>
    <t>UNR is on target to fully expend by 12/31/2025. UNR will be contracting with another entity starting 01/01/2025. Projections based on spending plan submitted by UNR. Scholarships are awarded by semester. UNLV has expended 100% of the $3.0 million awarded for the scholarships.</t>
  </si>
  <si>
    <t>23QRTPC01</t>
  </si>
  <si>
    <t>Qualified Residential Treatment Program Clark Co  - Amendment #1 extended from date  to 6/30/24  - Amendment #2  extended from date 6/30/24 to 2/28/25</t>
  </si>
  <si>
    <t>23FR314512</t>
  </si>
  <si>
    <t>To support a 12 bed pilot program that meets Qualified Residential Treatment Program requirements.</t>
  </si>
  <si>
    <t>The goal of the programming is to ensure children and youth are not languishing in emergency shelters, detention, or hospitals when they need a community based level of foster care.</t>
  </si>
  <si>
    <t>Creating the new level of care for children and youth in foster care will provide an opportunity for children and youth to receive an appropriate level of mental health care</t>
  </si>
  <si>
    <t xml:space="preserve">Final RFR is pending processing by GFO ARPA team. Project is complete. Closeout pending. 
</t>
  </si>
  <si>
    <t>23RWECC01</t>
  </si>
  <si>
    <t>Refuge for Women Emergency Crisis Care - Community Recovery Grant - Amendment #1 extended from date 9/30/24 to 12/31/24</t>
  </si>
  <si>
    <t>Provide a safe shelter, trauma informed care, and a full continuum of care to victims of sex-trafficking and those looking to leave the dark sex-industry.</t>
  </si>
  <si>
    <t>Continue to provide support to victims of crime in Nevada</t>
  </si>
  <si>
    <t xml:space="preserve">Project is complete. Closeout has been completed by GFO ARPA team. $4,328.73 has been de-obligated. </t>
  </si>
  <si>
    <t>23SRPRN01</t>
  </si>
  <si>
    <r>
      <rPr>
        <sz val="11"/>
        <color rgb="FF000000"/>
        <rFont val="Calibri"/>
        <family val="2"/>
        <scheme val="minor"/>
      </rPr>
      <t xml:space="preserve">Study to review Reimbursement Parity APRN - </t>
    </r>
    <r>
      <rPr>
        <b/>
        <sz val="11"/>
        <color rgb="FF000000"/>
        <rFont val="Calibri"/>
        <family val="2"/>
        <scheme val="minor"/>
      </rPr>
      <t>100% of funding returned - study was not completed.</t>
    </r>
  </si>
  <si>
    <t>23FR314516</t>
  </si>
  <si>
    <t>To conduct a study to review the impact of reimbursement parity for services provided by Advanced Practice Registered Nurses.</t>
  </si>
  <si>
    <t>A systems approach for review will be utilized considering cost savings of using APRNs, impact on workforce development and retention if reimbursement parity exists.</t>
  </si>
  <si>
    <t>Allocation Change to Deobligate 100% approved by GFO 7-14-23 Funding not needed</t>
  </si>
  <si>
    <t>23SUPST3145</t>
  </si>
  <si>
    <t xml:space="preserve">DCFS -ARPA Oversight  SFY 2025-  BA 3145 (8 FTE - PCN 526-533)  - Amendment #1 </t>
  </si>
  <si>
    <t xml:space="preserve">25FRF31452 </t>
  </si>
  <si>
    <t xml:space="preserve">Eight positions,  associated equipment, and operating expenses.   Eight positions support the oversight of the ARPA allocations awarded to DCFS </t>
  </si>
  <si>
    <t>Staff to provide DCFS with sufficient capacity to provide oversight of the ARPA Allocations award to the division</t>
  </si>
  <si>
    <t>Behavioral health workforce; to expand evidence based children's mental and behavioral health for government agencies and community providers</t>
  </si>
  <si>
    <t>All eight positions are currently filled, of which two are with Contract/Temp workers.  The division has had problems  setting up the positions with Job #s for the download from HRDW.  JVRs need to be completed to capture 100% of the salaries and fringe benefits through 10/31/24</t>
  </si>
  <si>
    <t>23UNBSS01</t>
  </si>
  <si>
    <t xml:space="preserve"> Unified Billing Support Software</t>
  </si>
  <si>
    <t>23FRF31459</t>
  </si>
  <si>
    <t>Contract for a software platform that allows for clinical documentation, tracking, and billing of mental health services in Nevada Schools.</t>
  </si>
  <si>
    <t>Funding will be used as seed dollars to implement a statewide system that the districts would be able to opt in to bill for services outside of the IEP.</t>
  </si>
  <si>
    <t>Integrate across systems to establish core student identity, access management, and bidirectional information exchange. Leverage and further develop the Statewide Behavioral Health Referral Use Case</t>
  </si>
  <si>
    <t>100% Expended</t>
  </si>
  <si>
    <t>23EMPLR01</t>
  </si>
  <si>
    <t>DCFS - Emergency and Planned Respite -  SFY 23</t>
  </si>
  <si>
    <t xml:space="preserve">23FRF31457 </t>
  </si>
  <si>
    <t xml:space="preserve">Respite care service and support to Nevada families. Respite will allow overstretched and stressed caregivers to take a break from caring for youth with high intensity needs. </t>
  </si>
  <si>
    <t xml:space="preserve">Contract with Magellan has been fully implemented. Services went live on 02/01/2024. Magellan and DCFS staff are actively working on outreach and referrals. </t>
  </si>
  <si>
    <t>SFY 2023 Allocation - 100% De-obligated per amendment #2</t>
  </si>
  <si>
    <t>23EMPLR02</t>
  </si>
  <si>
    <t>DCFS - Emergency and Planned Respite -  SFY 24</t>
  </si>
  <si>
    <t xml:space="preserve"> L01 SFY 24</t>
  </si>
  <si>
    <t xml:space="preserve">The Magellan contract has been established to pilot a statewide Care Management Entity (CME) model for the management and organization of delivery of services for children, youth, and young adults ages 3-20 with complex behavioral health needs who may be involved in multiple systems. The CME pilot went live 2/1/24 for enrollments of these children, youth and young adults. Contract with Magellan has been fully implemented. Magellan and DCFS staff are actively working on outreach and referrals. October 2024 was adjusted to reconcile to SFY 2024 RFR plus YTD expenses in SFY 25 through 10/31/24. Magellan's contract is in the process of being amended at August BOE. Current Enrollment in Respite is 35 youth. Services will be offered statewide in July. </t>
  </si>
  <si>
    <t>23FTFPS01</t>
  </si>
  <si>
    <t xml:space="preserve">DCFS - Family to Family Peer Support - Amendments #1 and #2 </t>
  </si>
  <si>
    <t xml:space="preserve">23FRF31456 plus L01 SFY 24 &amp; </t>
  </si>
  <si>
    <t>The Family Peer Support model provides intentional support with specific focus on the parent/primary caregiver of the child. Services are designed to improve the family's capacity to care for or resolve the child/youth's emotional or behavioral needs, by providing a unique set of services that includes emotional, informational, instruction, and advocacy support.</t>
  </si>
  <si>
    <t>Services are designed to improve the family's capacity to care for or resolve the child/youth's emotional or behavioral needs, by providing a unique set of services that includes emotional, informational, instruction, and advocacy support.</t>
  </si>
  <si>
    <t xml:space="preserve"> $8.0 million for the development phase, hardware, software, and licensing. DCFS is requesting a solicitation exemption and going sole source with an existing State contracted vendor (Deloitte) that has implemented child welfare systems for numerous other states on several different vendor solutions and is not participating in the planning phases of the project. The solution will be cloud based and DCFS will maintain the software licenses. Maintaining the licenses provides the greatest flexibility in operations management options. </t>
  </si>
  <si>
    <t>23IFIHS01</t>
  </si>
  <si>
    <r>
      <t xml:space="preserve">DCFS - Intensive Family In Home Services - </t>
    </r>
    <r>
      <rPr>
        <b/>
        <sz val="11"/>
        <color rgb="FF000000"/>
        <rFont val="Calibri"/>
        <family val="2"/>
        <scheme val="minor"/>
      </rPr>
      <t>Extension approved thru 12/31/26 for</t>
    </r>
    <r>
      <rPr>
        <sz val="11"/>
        <color rgb="FF000000"/>
        <rFont val="Calibri"/>
        <family val="2"/>
        <scheme val="minor"/>
      </rPr>
      <t xml:space="preserve"> </t>
    </r>
    <r>
      <rPr>
        <b/>
        <sz val="11"/>
        <color rgb="FF000000"/>
        <rFont val="Calibri"/>
        <family val="2"/>
        <scheme val="minor"/>
      </rPr>
      <t>Magellan Healthcare Contract</t>
    </r>
  </si>
  <si>
    <t>23FRF31455 plus L01 SFY 24 WP 24FRF31461  for de-obligation SFY 24</t>
  </si>
  <si>
    <t>Intensive in-home programs are a highly intensive and specialized community-based option in a full array of services for youth with serious emotional disturbance. Multiple treatment elements are integrated by a team into a single coordinated service.</t>
  </si>
  <si>
    <t>Contract with Magellan has been fully implemented. Services went live on 02/01/2024. Magellan and DCFS staff are actively working on outreach and referrals.  October 2024 was adjusted to reconcile to SFY 2024 RFR plus YTD expenses in SFY 25 through 10/31/24.  Salaries and employee drive cost from Cat 04 &amp; 26 from SFY 24 was not included previously.</t>
  </si>
  <si>
    <t>23SUPST3146</t>
  </si>
  <si>
    <r>
      <t xml:space="preserve">DCFS -ARPA Children's Behavioral Health Authority  SFY 2025-  BA  3146 (8 FTE - PCN 155, 156, 158, 159, 161, 162, 521 &amp;525) SFY 24. </t>
    </r>
    <r>
      <rPr>
        <b/>
        <sz val="11"/>
        <color rgb="FF000000"/>
        <rFont val="Calibri"/>
        <family val="2"/>
        <scheme val="minor"/>
      </rPr>
      <t xml:space="preserve"> </t>
    </r>
  </si>
  <si>
    <t>25FRF31461</t>
  </si>
  <si>
    <t>Eight positions,  associated equipment, and operating expenses.   Eight positions support the Children’s Behavioral Health Authority program</t>
  </si>
  <si>
    <t xml:space="preserve">Staff to provide DCFS with sufficient capacity to train and provide technical assistance to the behavioral health workforce; to expand evidence based children's mental and behavioral health for government agencies and community providers; and to provide oversight and quality assurance over children's mental/behavioral health services in Nevada. </t>
  </si>
  <si>
    <t>On target to fully expend the award by 02/28/27.
All eight positions are currently filled, of which two are with Contract/Temp workers.  See above 23SUPST3145 regarding JVRs needed for Job #21027A21 to be added for salaries paid thru 10/31/24</t>
  </si>
  <si>
    <t>23WINIC01</t>
  </si>
  <si>
    <t>DCFS - Wraparound Authority/intensive Care Coordination - Amendment #4 Reduced amount of award by $348</t>
  </si>
  <si>
    <t>23FR31454 plus L01 SFY 24</t>
  </si>
  <si>
    <t xml:space="preserve">Provide intensive care coordination for a subset of youth who would benefit from the highest level of intensive care coordination that is beyond the scope of services the WIN model is designed to provide. </t>
  </si>
  <si>
    <t>Youth that have been relinquished by their parents due to the intensity of their needs, those at extremely high risk of relinquishment, and those living in emergency shelters or temporary foster and alternative living arrangements.</t>
  </si>
  <si>
    <t xml:space="preserve">The Magellan contract has been established to pilot a statewide Care Management Entity (CME) model for the management and organization of delivery of services for children, youth, and young adults ages 3-20 with complex behavioral health needs who may be involved in multiple systems. The CME pilot went live 2/1/24 for enrollments of these children, youth and young adults. Contract with Magellan has been fully implemented. Magellan and DCFS staff are actively working on outreach and referrals. October 2024 was adjusted to reconcile to SFY 2024 RFR plus YTD expenses in SFY 25 through 10/31/24. June IFC work program WP25FRF31467 is pending deobligation of $5 million due to savings identified. Magellan's contract is in the process of being amended at August BOE. Current Enrollment in HFW is 74 youth, 24 youth in intensive care services for a total of 98. Services will be offered statewide in July. </t>
  </si>
  <si>
    <t>23CHINA01</t>
  </si>
  <si>
    <t>China Springs Youth Camp - System of Care Services - Amendment #1 extended from date to 6/20/25</t>
  </si>
  <si>
    <t>23FRF31471</t>
  </si>
  <si>
    <t>Services to youth 12-18 and their families in the sixteen counties serviced by the Camp (all Counties except Clark) with substance use and mental health issues to reduce recidivism into the juvenile justice system. Services include teaching of cognitive and problem-solving skills, education and employment skills, group skills, provision of medication monitoring, provision licensed mental health providers to assist in assessments, screenings, and case planning.</t>
  </si>
  <si>
    <t xml:space="preserve">Services to youth 12-18 and their families in the sixteen counties serviced by the Camp (all Counties except Clark) with substance use and mental health issues to reduce recidivism into the juvenile justice system. </t>
  </si>
  <si>
    <t>Services include teaching of cognitive and problem-solving skills, education and employment skills, group skills, provision of medication monitoring, provision licensed mental health providers to assist in assessments, screenings, and case planning.</t>
  </si>
  <si>
    <t xml:space="preserve">Final RFR submitted to GFO ARPA team on 7/28/25. This project has been fully expended. </t>
  </si>
  <si>
    <t>24CHINA02</t>
  </si>
  <si>
    <t>China Springs Youth Camp - System of Care Services</t>
  </si>
  <si>
    <t>L01 - SFY 24</t>
  </si>
  <si>
    <t xml:space="preserve"> Restoration - restore 5 separate positions.</t>
  </si>
  <si>
    <t xml:space="preserve">Award is fully expended. Pending closeout with GFO ARPA team. 
</t>
  </si>
  <si>
    <t>22MBCRS01a</t>
  </si>
  <si>
    <t>DCFS - CHILDREN'S MENTAL HEALTH MOBILE CRISIS RESPONSE (Surge Capacity) - NNCAS</t>
  </si>
  <si>
    <t>22FRF32811</t>
  </si>
  <si>
    <t xml:space="preserve">Fund mobile crisis expansion due to sustained growth in service utilization, partly with increase in distress, isolation, and hardship related to COVID-19.  </t>
  </si>
  <si>
    <t>Mobile Crisis dispatches clinicians and caseworkers to assess for safety in community settings of family choice and provides short term stabilization to mediate community availability to start long-term therapeutic services.</t>
  </si>
  <si>
    <t>Mobile Crisis screens during assessment for negative impact on family from COVID and the added positions allow for increased response to community and supports proportional increase in demand for services from community families and stakeholders.</t>
  </si>
  <si>
    <t>100 % Expended</t>
  </si>
  <si>
    <t>22MBCRS01c</t>
  </si>
  <si>
    <t>23FRF32811</t>
  </si>
  <si>
    <t xml:space="preserve"> 100% Expended</t>
  </si>
  <si>
    <t>23DAYTP01a</t>
  </si>
  <si>
    <t xml:space="preserve">Day Treatment Program - FY23 -  (PCN 2030-2041- 12 FTE &amp; associated costs).  </t>
  </si>
  <si>
    <t>23FRF32814</t>
  </si>
  <si>
    <t>Day Treatment program for children 3-6 years old who are experiencing challenging behaviors,  without any options for the treatment of the child's individualized needs in existing community childcare/early learning programs.   Northern Nevada. FY 23</t>
  </si>
  <si>
    <t>This program will provide EC Day Treatment services regardless of ability to pay and insured status as this EC  Day Treatment is unique and offers an unduplicated community-based program of treatment for children 3-6 years.</t>
  </si>
  <si>
    <t>This program will provide EC Day Treatment services regardless of ability to pay and insured status as this EC Day Treatment is unique and offers an unduplicated community-based program of treatment for children 3-6 years.</t>
  </si>
  <si>
    <t xml:space="preserve">This project has been closed-out. </t>
  </si>
  <si>
    <t>General Fund &amp; Medicaid starting 7/1/24 - SFY 25</t>
  </si>
  <si>
    <t>$325,000  for playground equipment project to be completed in SFY 2025</t>
  </si>
  <si>
    <t>23DAYTP01b</t>
  </si>
  <si>
    <t>Day Treatment Program - FY24 - (PCN 2030-2041 - 12 FTE, associated cost &amp; playground equipment). Program funded with GF &amp; Medicaid Reimb starting with SFY 2025</t>
  </si>
  <si>
    <t>L01 SFY 24</t>
  </si>
  <si>
    <t>Day Treatment program for children 3-6 years old who are experiencing challenging behaviors,  without any options for the treatment of the child's individualized needs in existing community childcare/early learning programs.   Northern Nevada. FY 24</t>
  </si>
  <si>
    <t xml:space="preserve">Final RFR is pending processing. Balance is for the playground equipment project.  </t>
  </si>
  <si>
    <t>Addl $22,497.00 for playground equipment project to be completed in SFY 2025 in addition to $325,000 above for a grand of $347,497.  Bal of $24,821will be used to offset GF Approp, which will be placed in reserves.  See wp 25FRF32811 to balance forward authority remaining for both 23DAYTP01a&amp;b</t>
  </si>
  <si>
    <t>23MBCWC01</t>
  </si>
  <si>
    <t>DCFS - Mobile Crisis Response Team - Washoe County School District - funding for both SFY 23 ($361,982) &amp; 24 ($446,313) - PCN 2150-2153 - 4 FTE &amp; associated cost. Program funded with GF &amp; Medicaid Reimb starting with SFY 2025</t>
  </si>
  <si>
    <t>23FRF32813 plus L01 SFY 24</t>
  </si>
  <si>
    <t>Fund mobile crisis expansion due to sustained growth in service utilization, partly with increase in distress, isolation, and hardship related to COVID-19.  These staff would target students in Washoe County School District.</t>
  </si>
  <si>
    <t xml:space="preserve">Project 100% Complete. </t>
  </si>
  <si>
    <t>Balance should be de-obligated.</t>
  </si>
  <si>
    <t>23NNPSI01</t>
  </si>
  <si>
    <t>DCFS - PUBLIC SERVICE INTERNS - Northern Nevada -  funding for both SFY 23 ($186,468) &amp; 24 ($241,020 L01 per LCB ARPA Spreadsheet Dec 2023 -line 212 ) for PCN 2021- 2026 - 6 - 0.50 FTE positions &amp; associated cost. Program funded with GF &amp; Medicaid Reimb starting with SFY 2025</t>
  </si>
  <si>
    <t>23FRF32812 plus L01 SFY 24</t>
  </si>
  <si>
    <t>To incentivize students to enter state service and address workforce shortage</t>
  </si>
  <si>
    <t>These positions would enable the agency to have an internal pool of candidates for clinician positions.</t>
  </si>
  <si>
    <t>Recruiting difficulties that began with COVID-19 would be reduced.</t>
  </si>
  <si>
    <t>22DSWHD01</t>
  </si>
  <si>
    <r>
      <rPr>
        <sz val="11"/>
        <color rgb="FF000000"/>
        <rFont val="Calibri"/>
        <family val="2"/>
      </rPr>
      <t xml:space="preserve">DCFS - DESERT WILLOW HARDENING - </t>
    </r>
    <r>
      <rPr>
        <b/>
        <sz val="11"/>
        <color rgb="FF000000"/>
        <rFont val="Calibri"/>
        <family val="2"/>
      </rPr>
      <t>Amendment #2 extended the end date from 12/31/2024 to 6/30/2025      - Amendment  #3 extended the end date from 6/30/25 to 12/31/2026</t>
    </r>
  </si>
  <si>
    <t>22FRF36462</t>
  </si>
  <si>
    <t>Hardening of one 12-bed unit at the facility to provide a secure space within the facility.  Public Works awarded a contract to Builders United to complete this project, with a projected completion date of February 2025.   SPWD Contract No. 116062</t>
  </si>
  <si>
    <t xml:space="preserve">The hardening of the facility will provide a space within the facility capable of providing secure mental health treatment as these youth are often rejected at privately-operated facilities and can languish in emergency rooms or juvenile detention. </t>
  </si>
  <si>
    <t>Throughout the COVID-19 pandemic the facility has experienced an increase of referrals for youth experiencing mental health needs coupled with highly aggressive behavior.</t>
  </si>
  <si>
    <t>22DSWHD01a below combined with this project - 
Completed Items:
o	Classroom HVAC and restroom areas were completed in August 2024.
o	HVAC work in some administrative areas have been completed by the original vendor.
o	HVAC work in a few other administrative areas began on 7/7/2025.
Pending Items:
Project 1: (HVAC Replacement)
A new contract for the HVAC replacement project was secured by SPWD and the HVAC system for Phase 2 began 7/7/2025. Included in this phase will be replacement of the facility’s roof air handlers. Expected completion of all phases of the HVAC replacement is 11/2025.
Project 2: (Unfinished Restrooms)
SPWD and DCFS Fiscal are working out final agreements with an emergency contractor to begin completing (hardening) the 3 demolished restrooms that have been offline since the original contract was terminated in 10/2024. According to communication received on 7/2/2025 from the SPWD Project manager, the expected completion of this project is 10/2025.
Project 3: (Unit Hardening)
According to communication from SPWD Project Manager on 7/2/2025. They are “anticipating a board hearing in the next 4 weeks, then we will hopefully have more information about being able to move forward.” No expected timeline for completion has been provided regarding this.</t>
  </si>
  <si>
    <t>One Time Funding - Balance may be used for change orders</t>
  </si>
  <si>
    <t>22DSWHD01a</t>
  </si>
  <si>
    <r>
      <rPr>
        <sz val="11"/>
        <color rgb="FF000000"/>
        <rFont val="Calibri"/>
        <family val="2"/>
      </rPr>
      <t xml:space="preserve">DCFS - DESERT WILLOW HARDENING - </t>
    </r>
    <r>
      <rPr>
        <b/>
        <sz val="11"/>
        <color rgb="FF000000"/>
        <rFont val="Calibri"/>
        <family val="2"/>
      </rPr>
      <t>Amendment #1 extended the end date from 06/30/2024 to 6/30/2025   -Amendment #2 extended the end date from 6/30/25 to 12/31/2026</t>
    </r>
  </si>
  <si>
    <t>23FRF36463</t>
  </si>
  <si>
    <t>SEE ABOVE -  ARPA Allocation 22DSWHD01 &amp; 22DSWHD01a combined funding for the same project.</t>
  </si>
  <si>
    <t>22DSWHD01 above combined with this project - See above project 22DSWHD01a for project status</t>
  </si>
  <si>
    <t>22MBCRS01b</t>
  </si>
  <si>
    <t>SB 461 - CHILDREN'S MENTAL HEALTH MOBILE CRISIS RESPONSE (Surge Capacity) - SNCAS</t>
  </si>
  <si>
    <t>22FRF36461</t>
  </si>
  <si>
    <t>22MBCRS01d</t>
  </si>
  <si>
    <t>DCFS -  CHILDREN'S MENTAL HEALTH MOBILE CRISIS RESPONSE (Surge Capacity) - SNCAS</t>
  </si>
  <si>
    <t>23FRF36461</t>
  </si>
  <si>
    <t>23LADTR01a</t>
  </si>
  <si>
    <t>DCFS - LATENCY AGE DAY TREATMENT - FY 23 (PCN 2050-2057 - 8 FTE &amp; associated costs).</t>
  </si>
  <si>
    <t>23FRF36467</t>
  </si>
  <si>
    <t xml:space="preserve">To create a Latency Age Day Treatment program that will provide mental health services to youths 7-11 years old with determined Severe Emotional Disturbance </t>
  </si>
  <si>
    <t xml:space="preserve">Families and caregivers will benefit from comprehensive and coordinated mental health services to include child/family psychotherapy, targeted case management, psychiatric services, assessment and referrals. </t>
  </si>
  <si>
    <t xml:space="preserve">Project 100% Complete.  </t>
  </si>
  <si>
    <t>23LADTR01b</t>
  </si>
  <si>
    <t>DCFS - LATENCY AGE DAY TREATMENT - FY 24 (PCN 2050-2057 - 8 FTE &amp; associated cost). Program funded with GF &amp; Medicaid Reimb starting with SFY 2025</t>
  </si>
  <si>
    <t>23MBCCC01</t>
  </si>
  <si>
    <t>DCFS - Mobile Crisis Response Team - Clark County School District - funding for both SFY 23 ($1,208,534) &amp; 24 ($1,487,527 L01) for PCN 2150-2162 - 13 FTE &amp; associated cost. Program funded with GF &amp; Medicaid Reimb starting with SFY 2025</t>
  </si>
  <si>
    <t>23FRF36466 plus L01 SFY 24</t>
  </si>
  <si>
    <t>Fund mobile crisis expansion due to sustained growth in service utilization, partly with increase in distress, isolation, and hardship related to COVID-19.  These staff would target students in Clark County School District.</t>
  </si>
  <si>
    <t>23OASIS01</t>
  </si>
  <si>
    <t>DCFS - Oasis Staffing</t>
  </si>
  <si>
    <t>23FRF36464</t>
  </si>
  <si>
    <t>This would fund the temporary staffing necessary to fully operate two unlocked residential treatment homes on the West Charleston campus.</t>
  </si>
  <si>
    <t>The funding would support the temporary staffing needs of the Oasis program. This program provides critical residential services for the community.</t>
  </si>
  <si>
    <t xml:space="preserve">The Oasis program conducts an assessment prior to admissions to ensure that the clients meet the eligibility requirements for the program. </t>
  </si>
  <si>
    <t>23SNPSI01</t>
  </si>
  <si>
    <t>DCFS - Public Service Interns - Southern Nevada -  funding for both SFY 23 ($139,886) &amp; 24 ($160,680 L01) for PCN 2021-2024 - 13 FTE &amp; associated cost. Program funded with GF &amp; Medicaid Reimb starting with SFY 2025</t>
  </si>
  <si>
    <t>23FRF36465 plus L01 SFY 24</t>
  </si>
  <si>
    <t>The use of Public Service Interns throughout the State of Nevada would provide a relatively low-cost method of incentivizing students to enter the State of Nevada system as a service provider by offering clinical training opportunities.</t>
  </si>
  <si>
    <t>24CMH9A01</t>
  </si>
  <si>
    <t>Building 9 Renovation West Charleston Children's Mental Health Campus</t>
  </si>
  <si>
    <t>25FRF36461</t>
  </si>
  <si>
    <t>State Public Works  - design and construct kitchen and bathroom renovations and window replacements at the Southern Nevada Child and Adolescent Services West Charleston , Building 9</t>
  </si>
  <si>
    <t xml:space="preserve">This request will ensure the safety and well-being of the youth being treated at the West Charleston Children's Mental Health campus.  </t>
  </si>
  <si>
    <t xml:space="preserve">Clark County is currently contracting with a private vendor to provide services to boys with autism spectrum disorder in a facility on the West Charleston Campus. Similar services are needed for girls, and renovation of this facility will allow DCFS to provide much needed services for these youth with the intent that they are able to reunify with their families or have a successful placement in another setting on the continuum of care for youth with behavioral challenges. 
</t>
  </si>
  <si>
    <t xml:space="preserve">Clark County is in the progress of setting up multiple vendors to move existing residential services from the W. Charleston campus to a new location and expand services in increase capacity at a PRTF level of care. </t>
  </si>
  <si>
    <t xml:space="preserve">N/A </t>
  </si>
  <si>
    <t>22VOCVP01</t>
  </si>
  <si>
    <t>VICTIMS OF CRIME VICTIMS PAYMENTS</t>
  </si>
  <si>
    <t>22FRF48951</t>
  </si>
  <si>
    <t xml:space="preserve">Sub-awards to Victims of Crime Program to provide level funding to victims of crime.  </t>
  </si>
  <si>
    <t>VOCA grant funding has decreased significantly over the last three years. Continue to provide support to victims of crime in Nevada.</t>
  </si>
  <si>
    <t>24VOCVP01</t>
  </si>
  <si>
    <t>Victims of Crime Program</t>
  </si>
  <si>
    <t>L01 SFY 24 - $134,136; and L01 SFY 25 - $437,210</t>
  </si>
  <si>
    <t>Sub-award to Victims of Crime Service Providers.</t>
  </si>
  <si>
    <t xml:space="preserve">Award is fully expended. 
</t>
  </si>
  <si>
    <t>23SUPST01a</t>
  </si>
  <si>
    <t xml:space="preserve">DCFS -ARPA Oversight -  BA 3145 (8 FTE - PCN 526-533); and Children's Behavioral Health Authority - BA 3146 (8 FTE - PCN 155, 156, 158, 159, 161, 162, 521 &amp;525) SFY 23 - </t>
  </si>
  <si>
    <t>3145 &amp; 3146</t>
  </si>
  <si>
    <t>23FRF31458</t>
  </si>
  <si>
    <t xml:space="preserve">Sixteen positions,  associated equipment, and operating expenses.   8 positions support the oversight of the ARPA allocations awarded to DCFS and 8 positions are assigned to the Children’s Behavioral Health Authority program.  </t>
  </si>
  <si>
    <t xml:space="preserve"> $1,856,496 de-obligated will be requested to be allocated to other projects  at the December 12 2024 IFC meeting.</t>
  </si>
  <si>
    <t>23SUPST01b</t>
  </si>
  <si>
    <r>
      <t xml:space="preserve">DCFS -ARPA Oversight -  BA 3145 (8 FTE - PCN 526-533); and Children's Behavioral Health Authority - BA 3146 (8 FTE - PCN 155, 156, 158, 159, 161, 162, 521 &amp;525) SFY 24. </t>
    </r>
    <r>
      <rPr>
        <b/>
        <sz val="11"/>
        <color rgb="FF000000"/>
        <rFont val="Calibri"/>
        <family val="2"/>
        <scheme val="minor"/>
      </rPr>
      <t xml:space="preserve"> </t>
    </r>
  </si>
  <si>
    <t>Sixteen positions,  associated equipment, and operating expenses.   Eight positions support the oversight of the ARPA allocations awarded to DCFS and 8 positions are assigned to the Children’s Behavioral Health Authority program</t>
  </si>
  <si>
    <t xml:space="preserve">Project is complete for SFY 2024.  </t>
  </si>
  <si>
    <t xml:space="preserve">  </t>
  </si>
  <si>
    <t>23NVPEP01</t>
  </si>
  <si>
    <t>Nevada PEP - Community Recovery Grant</t>
  </si>
  <si>
    <t>23FRF31451</t>
  </si>
  <si>
    <t>This program will focus on outreach to make families of children with disabilities aware of the services that are out there to serve their child. Nevada PEP will reach out to families and let them know how to seek services, how to communicate with the child's school or therapist about regressions or changes to be made, and will attend meetings with the family, and offer them support and confidence.</t>
  </si>
  <si>
    <t>Children with disabilities have fallen behind their same age peers overall and have regressed in mental health, reading, writing, and speech since COVID.</t>
  </si>
  <si>
    <t>Nevada PEP is developed a training and certiﬁcation program for Family Peer Support Services. Expenditures include the  RFR through 09/30/2024. The division will confirm that this was the FINAL RFR for 100% of the expenditures and if the balance of $5,423 will be de-obligated.</t>
  </si>
  <si>
    <t>ARPA Work Programs</t>
  </si>
  <si>
    <t>WP adjustments</t>
  </si>
  <si>
    <t>Difference from LCB</t>
  </si>
  <si>
    <t>24FRF31613</t>
  </si>
  <si>
    <t>City of Las Vegas Detention Center</t>
  </si>
  <si>
    <t>24FRF31616</t>
  </si>
  <si>
    <t>Stein forensic Hospital renovations</t>
  </si>
  <si>
    <t>24FRF32782</t>
  </si>
  <si>
    <t>24FRF32783</t>
  </si>
  <si>
    <t>24FRF32784</t>
  </si>
  <si>
    <t>24FRF32785</t>
  </si>
  <si>
    <t>Resource and Service Navigation</t>
  </si>
  <si>
    <t>24FRF32813</t>
  </si>
  <si>
    <t>Staff Vacancies</t>
  </si>
  <si>
    <t>24FRF32814</t>
  </si>
  <si>
    <t>24FRF32815</t>
  </si>
  <si>
    <t>24FRF36453</t>
  </si>
  <si>
    <t>24FRF36464</t>
  </si>
  <si>
    <t>24FRF36465</t>
  </si>
  <si>
    <t>24FRF36466</t>
  </si>
  <si>
    <t>24FR315807</t>
  </si>
  <si>
    <t>ROI Targeted Wage Increases for State employees enrolled in Medicaid</t>
  </si>
  <si>
    <t>24FR316501</t>
  </si>
  <si>
    <t xml:space="preserve">Nevada Resilince Project </t>
  </si>
  <si>
    <t>24FR316502</t>
  </si>
  <si>
    <t xml:space="preserve">Crisis Stabilization Centers </t>
  </si>
  <si>
    <t>24FR317011</t>
  </si>
  <si>
    <t>Newborn Opioid Screening Panel</t>
  </si>
  <si>
    <t>24FR324301</t>
  </si>
  <si>
    <t>Long Term Care for Assisted Living &amp; Nursing Facility Workforce</t>
  </si>
  <si>
    <t>25FR322301</t>
  </si>
  <si>
    <t>Security Cameras -Summit View &amp; NYTC</t>
  </si>
  <si>
    <t>Area Served</t>
  </si>
  <si>
    <t>Budgeted Amount</t>
  </si>
  <si>
    <t>%</t>
  </si>
  <si>
    <t>Grand Total</t>
  </si>
  <si>
    <t>Topic/Category</t>
  </si>
  <si>
    <t>Total</t>
  </si>
  <si>
    <t>% Approved</t>
  </si>
  <si>
    <t>Total Expended</t>
  </si>
  <si>
    <t>% Department Expended</t>
  </si>
  <si>
    <t>% Agency Expended</t>
  </si>
  <si>
    <t>400 - Director's Office</t>
  </si>
  <si>
    <t>402 - ADSD</t>
  </si>
  <si>
    <t>406 - DPBH</t>
  </si>
  <si>
    <t>407 - DWSS</t>
  </si>
  <si>
    <t>409 - DCFS</t>
  </si>
  <si>
    <t>Completed Projects by Topic</t>
  </si>
  <si>
    <t>Details for Sum of Total Expended
DO NOT HARDCODE - Agency: 402</t>
  </si>
  <si>
    <t>Additional Obligations between 
April 1 - April 30, 2025</t>
  </si>
  <si>
    <t>Expended  
April 1 - April 30, 2025</t>
  </si>
  <si>
    <t xml:space="preserve">All funds have been obligated and expected to be expended by the end of the project period.  </t>
  </si>
  <si>
    <t xml:space="preserve">All funds have been obligated. Subrecipients are beginning to incur expenditures for capacity building.  Training and outreach projects will begin in Fall 2025. Spending as expected with all projects to be completed by 12/31/26. </t>
  </si>
  <si>
    <t>All funds have been obligated and are expected to be expended. Two construction projects were completed in March 2025 and three projects anticipated completion by 7/31/2025. Remaining construction projects are expected to be completed by 12/31/2025.</t>
  </si>
  <si>
    <t xml:space="preserve">Multiple projects in process.  Evaluating expenditures and project plans due to potential shifts in project.  </t>
  </si>
  <si>
    <t xml:space="preserve">All funding obligated and expected to be fully expended by 12/31/26, across multiple contracts modernizing ADSD case management systems.  This includes integrating PowerDMS (policy portal) and CLio Legal Services (case management for advocacy attorney). Key milestones include setting up user logins, role assignments, and linking provider accounts as well as advancing several data migration activities.  We have also established a modernized web intake form for the Ombudsman program.  All efforts continue to progress as planned, ensuring enhanced system functionality and operational efficiency.    
</t>
  </si>
  <si>
    <t xml:space="preserve">Complete. Remaining funds de-obligated. </t>
  </si>
  <si>
    <t xml:space="preserve">Project completed 6/30/2024. All funds are fully expended. Services initiated under this funding source continue through other funding sources. </t>
  </si>
  <si>
    <t xml:space="preserve">Project completed. All funds have been expended. </t>
  </si>
  <si>
    <t>Project completed 6/30/2024.  Remaining funds of $7,775.06 were deobligated, request to bring funds back in was denied; project complete. Flooring installed in 1308, 1301 and 1306.</t>
  </si>
  <si>
    <t>Project completed 02/05/2025.  All funds are fully expended; $.82 in authority remains.</t>
  </si>
  <si>
    <t>A provider rate study, completed in 2022 by HMA, helped ADSD and NEIS recognize how provider rates and system costs are substantially influenced by the systems design. With HMA's System stude, we were able to evaluate the current structure of the NEIS system to support potential changes to policies, practices, and contracts.  We considered the impacts of system design on providers and State programs and how it affects program costs and provider sustainability.</t>
  </si>
  <si>
    <t>Two contracts to help ADSD improve processes and systems and implement complex federal regulations. Contract 1 provided business process redesign (BPR) to steamline intake and case management, create efficiency in workflows, centralize activties and remove duplication to improve access to care for clients within the Autism Treatment Assistance Program, Developmental Services and Office of Community Living. Contract 2 provided consulting, technical assistance, and program evaluation for Enhancing Home and Community-Based Services Regulations. This portion of the project evaluated ADSD's home and community-based waiver program compliance with federal regulations, made recommendations for program improvement in relation to those regulations, and provided staff with training needed to implement program improvement.</t>
  </si>
  <si>
    <t xml:space="preserve">All funds have been obligated. All funds expected to be expended.  </t>
  </si>
  <si>
    <t xml:space="preserve">As a result of the pandemic and other economic factors,  service costs continue to increase, making it difficult to recruit personnel. This project helps connect individuals on the waitlist with services as well as provides funding to subrecipients for  implemention of innovative service delivery models.  </t>
  </si>
  <si>
    <t xml:space="preserve">All funding has been obligated through subawards and a contract for self-directed services.  All funding is projected to be expended.  </t>
  </si>
  <si>
    <t>All funds have been obligated and all funds are expected to be expended.</t>
  </si>
  <si>
    <t xml:space="preserve">Project is on target to be fully expended by 6/30/25. Public launch of new branding will be in May 2025.    </t>
  </si>
  <si>
    <t xml:space="preserve">All funds have been obligated and are expected to be expended. </t>
  </si>
  <si>
    <t>Count of Agency</t>
  </si>
  <si>
    <t>Count of Area Served: Urban (Clark/Washoe), Rural or Statewide</t>
  </si>
  <si>
    <t>Sum of Revised Approved Budget</t>
  </si>
  <si>
    <t>Sum of Total Expended
DO NOT HARDCODE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</si>
</sst>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409]* #,##0.00_);_([$$-409]* \(#,##0.00\);_([$$-409]*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font>
    <font>
      <sz val="11"/>
      <color rgb="FF000000"/>
      <name val="Calibri"/>
      <family val="2"/>
      <scheme val="minor"/>
    </font>
    <font>
      <sz val="10"/>
      <color rgb="FF000000"/>
      <name val="Arial"/>
      <family val="2"/>
    </font>
    <font>
      <b/>
      <sz val="10"/>
      <color rgb="FFFF0000"/>
      <name val="Calibri"/>
      <family val="2"/>
      <scheme val="minor"/>
    </font>
    <font>
      <b/>
      <sz val="11"/>
      <color rgb="FFFF0000"/>
      <name val="Calibri"/>
      <family val="2"/>
      <scheme val="minor"/>
    </font>
    <font>
      <b/>
      <sz val="10"/>
      <name val="Calibri"/>
      <family val="2"/>
      <scheme val="minor"/>
    </font>
    <font>
      <sz val="10"/>
      <name val="Calibri"/>
      <family val="2"/>
      <scheme val="minor"/>
    </font>
    <font>
      <b/>
      <sz val="11"/>
      <color rgb="FF000000"/>
      <name val="Calibri"/>
      <family val="2"/>
      <scheme val="minor"/>
    </font>
    <font>
      <sz val="11"/>
      <color rgb="FF000000"/>
      <name val="Aptos"/>
      <family val="2"/>
    </font>
    <font>
      <sz val="11"/>
      <color rgb="FF000000"/>
      <name val="Calibri"/>
      <family val="2"/>
    </font>
    <font>
      <b/>
      <sz val="12"/>
      <color theme="1"/>
      <name val="Calibri"/>
      <family val="2"/>
      <scheme val="minor"/>
    </font>
    <font>
      <sz val="11"/>
      <color theme="1"/>
      <name val="Aptos"/>
      <family val="2"/>
      <charset val="1"/>
    </font>
    <font>
      <sz val="11"/>
      <color rgb="FF000000"/>
      <name val="Aptos Narrow"/>
      <family val="2"/>
    </font>
    <font>
      <sz val="11"/>
      <color rgb="FF000000"/>
      <name val="Aptos"/>
      <family val="2"/>
      <charset val="1"/>
    </font>
    <font>
      <sz val="10"/>
      <color theme="1"/>
      <name val="Aptos"/>
      <family val="2"/>
      <charset val="1"/>
    </font>
    <font>
      <sz val="10"/>
      <color rgb="FF000000"/>
      <name val="Aptos"/>
      <family val="2"/>
      <charset val="1"/>
    </font>
    <font>
      <sz val="11"/>
      <color rgb="FF444444"/>
      <name val="Calibri"/>
      <family val="2"/>
    </font>
    <font>
      <sz val="11"/>
      <name val="Calibri"/>
      <family val="2"/>
    </font>
    <font>
      <sz val="12"/>
      <color rgb="FF000000"/>
      <name val="Calibri"/>
      <family val="2"/>
    </font>
    <font>
      <b/>
      <sz val="11"/>
      <color rgb="FF000000"/>
      <name val="Calibri"/>
      <family val="2"/>
    </font>
    <font>
      <b/>
      <sz val="11"/>
      <name val="Calibri"/>
      <family val="2"/>
      <scheme val="minor"/>
    </font>
    <font>
      <sz val="11"/>
      <name val="Aptos Narrow"/>
      <family val="2"/>
    </font>
    <font>
      <sz val="11"/>
      <color rgb="FF000000"/>
      <name val="Calibri"/>
      <charset val="1"/>
    </font>
  </fonts>
  <fills count="10">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5" tint="0.59999389629810485"/>
        <bgColor indexed="64"/>
      </patternFill>
    </fill>
  </fills>
  <borders count="4">
    <border>
      <left/>
      <right/>
      <top/>
      <bottom/>
      <diagonal/>
    </border>
    <border>
      <left/>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85">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14" fontId="0" fillId="0" borderId="0" xfId="0" applyNumberFormat="1"/>
    <xf numFmtId="0" fontId="0" fillId="0" borderId="0" xfId="0" pivotButton="1"/>
    <xf numFmtId="0" fontId="0" fillId="0" borderId="0" xfId="0" applyAlignment="1">
      <alignment horizontal="left"/>
    </xf>
    <xf numFmtId="43" fontId="0" fillId="0" borderId="0" xfId="0" applyNumberFormat="1"/>
    <xf numFmtId="9" fontId="0" fillId="0" borderId="0" xfId="3" applyFont="1"/>
    <xf numFmtId="164" fontId="0" fillId="0" borderId="0" xfId="1" applyNumberFormat="1" applyFont="1"/>
    <xf numFmtId="0" fontId="1" fillId="0" borderId="1" xfId="0" applyFont="1" applyBorder="1" applyAlignment="1">
      <alignment horizontal="right"/>
    </xf>
    <xf numFmtId="164" fontId="1" fillId="0" borderId="1" xfId="1" applyNumberFormat="1" applyFont="1" applyBorder="1"/>
    <xf numFmtId="0" fontId="1" fillId="0" borderId="0" xfId="0" applyFont="1" applyAlignment="1">
      <alignment horizontal="center" wrapText="1"/>
    </xf>
    <xf numFmtId="43" fontId="0" fillId="0" borderId="0" xfId="1" applyFont="1"/>
    <xf numFmtId="0" fontId="1" fillId="0" borderId="1" xfId="0" applyFont="1" applyBorder="1"/>
    <xf numFmtId="9" fontId="1" fillId="0" borderId="1" xfId="3" applyFont="1" applyBorder="1"/>
    <xf numFmtId="0" fontId="1" fillId="0" borderId="0" xfId="0" applyFont="1" applyAlignment="1">
      <alignment horizontal="center"/>
    </xf>
    <xf numFmtId="0" fontId="1" fillId="0" borderId="0" xfId="0" applyFont="1" applyAlignment="1">
      <alignment horizontal="right"/>
    </xf>
    <xf numFmtId="164" fontId="1" fillId="0" borderId="0" xfId="1" applyNumberFormat="1" applyFont="1" applyBorder="1"/>
    <xf numFmtId="165" fontId="1" fillId="0" borderId="0" xfId="3" applyNumberFormat="1" applyFont="1" applyBorder="1"/>
    <xf numFmtId="43" fontId="0" fillId="0" borderId="1" xfId="1" applyFont="1" applyBorder="1"/>
    <xf numFmtId="0" fontId="1" fillId="2" borderId="0" xfId="0" applyFont="1" applyFill="1"/>
    <xf numFmtId="43" fontId="1" fillId="2" borderId="0" xfId="1" applyFont="1" applyFill="1"/>
    <xf numFmtId="164" fontId="1" fillId="2" borderId="0" xfId="1" applyNumberFormat="1" applyFont="1" applyFill="1" applyAlignment="1">
      <alignment wrapText="1"/>
    </xf>
    <xf numFmtId="0" fontId="1" fillId="2" borderId="0" xfId="0" applyFont="1" applyFill="1" applyAlignment="1">
      <alignment wrapText="1"/>
    </xf>
    <xf numFmtId="43" fontId="1" fillId="0" borderId="0" xfId="1" applyFont="1" applyAlignment="1">
      <alignment horizontal="center"/>
    </xf>
    <xf numFmtId="9" fontId="0" fillId="0" borderId="1" xfId="3" applyFont="1" applyBorder="1" applyAlignment="1"/>
    <xf numFmtId="165" fontId="0" fillId="0" borderId="0" xfId="3" applyNumberFormat="1" applyFont="1"/>
    <xf numFmtId="165" fontId="0" fillId="0" borderId="1" xfId="3" applyNumberFormat="1" applyFont="1" applyBorder="1"/>
    <xf numFmtId="165" fontId="0" fillId="0" borderId="0" xfId="3" applyNumberFormat="1" applyFont="1" applyAlignment="1"/>
    <xf numFmtId="43" fontId="1" fillId="0" borderId="1" xfId="1" applyFont="1" applyBorder="1"/>
    <xf numFmtId="43" fontId="1" fillId="0" borderId="1" xfId="3" applyNumberFormat="1" applyFont="1" applyBorder="1"/>
    <xf numFmtId="0" fontId="21" fillId="0" borderId="0" xfId="0" applyFont="1" applyAlignment="1">
      <alignment horizontal="left" vertical="top" wrapText="1"/>
    </xf>
    <xf numFmtId="0" fontId="1"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vertical="top"/>
    </xf>
    <xf numFmtId="14" fontId="0" fillId="0" borderId="0" xfId="0" applyNumberFormat="1" applyAlignment="1">
      <alignment horizontal="left" vertical="top" wrapText="1"/>
    </xf>
    <xf numFmtId="1" fontId="0" fillId="5" borderId="0" xfId="0" applyNumberFormat="1" applyFill="1" applyAlignment="1">
      <alignment horizontal="left" vertical="top" wrapText="1"/>
    </xf>
    <xf numFmtId="9" fontId="0" fillId="5" borderId="0" xfId="3" applyFont="1" applyFill="1" applyAlignment="1">
      <alignment horizontal="left" vertical="top" wrapText="1"/>
    </xf>
    <xf numFmtId="44" fontId="0" fillId="0" borderId="0" xfId="2" applyFont="1" applyFill="1" applyAlignment="1">
      <alignment horizontal="left" vertical="top" wrapText="1"/>
    </xf>
    <xf numFmtId="44" fontId="0" fillId="5" borderId="0" xfId="2" applyFont="1" applyFill="1" applyAlignment="1">
      <alignment horizontal="left" vertical="top" wrapText="1"/>
    </xf>
    <xf numFmtId="165" fontId="0" fillId="5" borderId="0" xfId="3" applyNumberFormat="1" applyFont="1" applyFill="1" applyAlignment="1">
      <alignment horizontal="left" vertical="top" wrapText="1"/>
    </xf>
    <xf numFmtId="44" fontId="0" fillId="5" borderId="0" xfId="2" applyFont="1" applyFill="1" applyAlignment="1">
      <alignment horizontal="left" vertical="top"/>
    </xf>
    <xf numFmtId="44" fontId="0" fillId="0" borderId="0" xfId="2" applyFont="1" applyFill="1" applyAlignment="1">
      <alignment horizontal="left" vertical="top"/>
    </xf>
    <xf numFmtId="165" fontId="0" fillId="0" borderId="0" xfId="3" applyNumberFormat="1" applyFont="1" applyFill="1" applyAlignment="1">
      <alignment horizontal="left" vertical="top" wrapText="1"/>
    </xf>
    <xf numFmtId="43" fontId="0" fillId="0" borderId="0" xfId="1" applyFont="1" applyFill="1" applyAlignment="1">
      <alignment horizontal="left" vertical="top" wrapText="1"/>
    </xf>
    <xf numFmtId="44" fontId="0" fillId="0" borderId="0" xfId="0" applyNumberFormat="1" applyAlignment="1">
      <alignment horizontal="left" vertical="top"/>
    </xf>
    <xf numFmtId="44" fontId="0" fillId="0" borderId="0" xfId="2" applyFont="1" applyAlignment="1">
      <alignment horizontal="left" vertical="top"/>
    </xf>
    <xf numFmtId="0" fontId="0" fillId="0" borderId="0" xfId="0" quotePrefix="1" applyAlignment="1">
      <alignment horizontal="left" vertical="top" wrapText="1"/>
    </xf>
    <xf numFmtId="44" fontId="0" fillId="0" borderId="0" xfId="3" applyNumberFormat="1" applyFont="1" applyFill="1" applyAlignment="1">
      <alignment horizontal="left" vertical="top" wrapText="1"/>
    </xf>
    <xf numFmtId="0" fontId="16" fillId="0" borderId="0" xfId="0" applyFont="1" applyAlignment="1">
      <alignment vertical="top" wrapText="1"/>
    </xf>
    <xf numFmtId="44" fontId="0" fillId="0" borderId="0" xfId="2" applyFont="1" applyAlignment="1">
      <alignment horizontal="left" vertical="top" wrapText="1"/>
    </xf>
    <xf numFmtId="0" fontId="8" fillId="0" borderId="0" xfId="0" applyFont="1" applyAlignment="1">
      <alignment horizontal="left" vertical="top" wrapText="1"/>
    </xf>
    <xf numFmtId="166" fontId="0" fillId="0" borderId="0" xfId="3" applyNumberFormat="1" applyFont="1" applyFill="1" applyAlignment="1">
      <alignment horizontal="left" vertical="top" wrapText="1"/>
    </xf>
    <xf numFmtId="166" fontId="16" fillId="0" borderId="0" xfId="0" applyNumberFormat="1" applyFont="1" applyAlignment="1">
      <alignment vertical="top" wrapText="1"/>
    </xf>
    <xf numFmtId="8" fontId="16" fillId="0" borderId="0" xfId="0" applyNumberFormat="1" applyFont="1" applyAlignment="1">
      <alignment vertical="top" wrapText="1"/>
    </xf>
    <xf numFmtId="0" fontId="19" fillId="0" borderId="0" xfId="0" applyFont="1" applyAlignment="1">
      <alignment horizontal="left" vertical="top"/>
    </xf>
    <xf numFmtId="0" fontId="18" fillId="0" borderId="0" xfId="0" applyFont="1" applyAlignment="1">
      <alignment vertical="top"/>
    </xf>
    <xf numFmtId="166" fontId="25" fillId="0" borderId="0" xfId="0" applyNumberFormat="1" applyFont="1" applyAlignment="1">
      <alignment vertical="top" wrapText="1"/>
    </xf>
    <xf numFmtId="166" fontId="16" fillId="0" borderId="0" xfId="0" applyNumberFormat="1" applyFont="1" applyAlignment="1">
      <alignment vertical="top"/>
    </xf>
    <xf numFmtId="8" fontId="16" fillId="0" borderId="0" xfId="0" applyNumberFormat="1" applyFont="1" applyAlignment="1">
      <alignment vertical="top"/>
    </xf>
    <xf numFmtId="166" fontId="0" fillId="0" borderId="0" xfId="2" applyNumberFormat="1" applyFont="1" applyFill="1" applyAlignment="1">
      <alignment horizontal="left" vertical="top" wrapText="1"/>
    </xf>
    <xf numFmtId="0" fontId="19" fillId="0" borderId="0" xfId="0" applyFont="1" applyAlignment="1">
      <alignment horizontal="left" vertical="top" wrapText="1"/>
    </xf>
    <xf numFmtId="0" fontId="18" fillId="0" borderId="0" xfId="0" applyFont="1" applyAlignment="1">
      <alignment vertical="top" wrapText="1"/>
    </xf>
    <xf numFmtId="166" fontId="0" fillId="0" borderId="0" xfId="2" applyNumberFormat="1" applyFont="1" applyFill="1" applyBorder="1" applyAlignment="1">
      <alignment horizontal="left" vertical="top"/>
    </xf>
    <xf numFmtId="0" fontId="16" fillId="0" borderId="0" xfId="0" applyFont="1" applyAlignment="1">
      <alignment horizontal="left" vertical="top"/>
    </xf>
    <xf numFmtId="0" fontId="0" fillId="0" borderId="0" xfId="2" applyNumberFormat="1" applyFont="1" applyFill="1" applyAlignment="1">
      <alignment horizontal="left" vertical="top" wrapText="1"/>
    </xf>
    <xf numFmtId="0" fontId="18" fillId="0" borderId="0" xfId="0" applyFont="1" applyAlignment="1">
      <alignment horizontal="left" vertical="top" wrapText="1"/>
    </xf>
    <xf numFmtId="9" fontId="0" fillId="0" borderId="0" xfId="0" applyNumberFormat="1" applyAlignment="1">
      <alignment horizontal="left" vertical="top" wrapText="1"/>
    </xf>
    <xf numFmtId="0" fontId="1" fillId="0" borderId="0" xfId="0" applyFont="1" applyAlignment="1">
      <alignment horizontal="left" vertical="top"/>
    </xf>
    <xf numFmtId="0" fontId="16" fillId="0" borderId="0" xfId="0" applyFont="1" applyAlignment="1">
      <alignment vertical="top"/>
    </xf>
    <xf numFmtId="0" fontId="6" fillId="0" borderId="0" xfId="0" applyFont="1" applyAlignment="1">
      <alignment horizontal="left" vertical="top"/>
    </xf>
    <xf numFmtId="166" fontId="7" fillId="0" borderId="0" xfId="0" applyNumberFormat="1" applyFont="1" applyAlignment="1">
      <alignment vertical="top" wrapText="1"/>
    </xf>
    <xf numFmtId="0" fontId="22" fillId="0" borderId="0" xfId="0" applyFont="1" applyAlignment="1">
      <alignment vertical="top" wrapText="1"/>
    </xf>
    <xf numFmtId="166" fontId="16" fillId="0" borderId="0" xfId="0" applyNumberFormat="1" applyFont="1" applyAlignment="1">
      <alignment horizontal="center" vertical="top" wrapText="1"/>
    </xf>
    <xf numFmtId="49" fontId="0" fillId="0" borderId="0" xfId="2" applyNumberFormat="1" applyFont="1" applyFill="1" applyAlignment="1">
      <alignment horizontal="left" vertical="top" wrapText="1"/>
    </xf>
    <xf numFmtId="3" fontId="0" fillId="0" borderId="0" xfId="0" applyNumberFormat="1" applyAlignment="1">
      <alignment horizontal="left" vertical="top" wrapText="1"/>
    </xf>
    <xf numFmtId="166" fontId="24" fillId="0" borderId="0" xfId="0" applyNumberFormat="1" applyFont="1" applyAlignment="1">
      <alignment vertical="top"/>
    </xf>
    <xf numFmtId="8" fontId="23" fillId="0" borderId="0" xfId="0" applyNumberFormat="1" applyFont="1" applyAlignment="1">
      <alignment vertical="top"/>
    </xf>
    <xf numFmtId="166" fontId="0" fillId="0" borderId="0" xfId="2" applyNumberFormat="1" applyFont="1" applyFill="1" applyAlignment="1">
      <alignment horizontal="left" vertical="top"/>
    </xf>
    <xf numFmtId="0" fontId="15" fillId="0" borderId="0" xfId="0" applyFont="1" applyAlignment="1">
      <alignment horizontal="left" vertical="top" wrapText="1"/>
    </xf>
    <xf numFmtId="44" fontId="0" fillId="0" borderId="0" xfId="2" applyFont="1" applyFill="1" applyBorder="1" applyAlignment="1">
      <alignment horizontal="left" vertical="top"/>
    </xf>
    <xf numFmtId="44" fontId="2" fillId="5" borderId="0" xfId="2" applyFont="1" applyFill="1" applyBorder="1" applyAlignment="1">
      <alignment horizontal="left" vertical="top" wrapText="1"/>
    </xf>
    <xf numFmtId="44" fontId="0" fillId="5" borderId="0" xfId="2" applyFont="1" applyFill="1" applyBorder="1" applyAlignment="1">
      <alignment horizontal="left" vertical="top" wrapText="1"/>
    </xf>
    <xf numFmtId="165" fontId="0" fillId="5" borderId="0" xfId="3" applyNumberFormat="1" applyFont="1" applyFill="1" applyBorder="1" applyAlignment="1">
      <alignment horizontal="left" vertical="top" wrapText="1"/>
    </xf>
    <xf numFmtId="166" fontId="0" fillId="0" borderId="0" xfId="3" applyNumberFormat="1" applyFont="1" applyFill="1" applyBorder="1" applyAlignment="1">
      <alignment horizontal="left" vertical="top" wrapText="1"/>
    </xf>
    <xf numFmtId="44" fontId="0" fillId="5" borderId="0" xfId="2" applyFont="1" applyFill="1" applyBorder="1" applyAlignment="1">
      <alignment horizontal="left" vertical="top"/>
    </xf>
    <xf numFmtId="44" fontId="0" fillId="0" borderId="0" xfId="2" applyFont="1" applyFill="1" applyBorder="1" applyAlignment="1">
      <alignment horizontal="left" vertical="top" wrapText="1"/>
    </xf>
    <xf numFmtId="43" fontId="0" fillId="0" borderId="0" xfId="3" applyNumberFormat="1" applyFont="1" applyFill="1" applyBorder="1" applyAlignment="1">
      <alignment horizontal="left" vertical="top" wrapText="1"/>
    </xf>
    <xf numFmtId="49" fontId="0" fillId="0" borderId="0" xfId="0" applyNumberFormat="1" applyAlignment="1">
      <alignment horizontal="left" vertical="top" wrapText="1"/>
    </xf>
    <xf numFmtId="43" fontId="0" fillId="0" borderId="0" xfId="3" applyNumberFormat="1" applyFont="1" applyFill="1" applyAlignment="1">
      <alignment horizontal="left" vertical="top" wrapText="1"/>
    </xf>
    <xf numFmtId="14" fontId="10" fillId="0" borderId="0" xfId="0" applyNumberFormat="1" applyFont="1" applyAlignment="1">
      <alignment horizontal="left" vertical="top" wrapText="1"/>
    </xf>
    <xf numFmtId="14" fontId="13" fillId="0" borderId="0" xfId="0" applyNumberFormat="1" applyFont="1" applyAlignment="1">
      <alignment horizontal="left" vertical="top" wrapText="1"/>
    </xf>
    <xf numFmtId="14" fontId="12" fillId="0" borderId="0" xfId="0" applyNumberFormat="1" applyFont="1" applyAlignment="1">
      <alignment horizontal="left" vertical="top" wrapText="1"/>
    </xf>
    <xf numFmtId="0" fontId="11" fillId="0" borderId="0" xfId="0" applyFont="1" applyAlignment="1">
      <alignment horizontal="left" vertical="top" wrapText="1"/>
    </xf>
    <xf numFmtId="0" fontId="1" fillId="0" borderId="0" xfId="0" applyFont="1" applyAlignment="1">
      <alignment horizontal="left" vertical="top" wrapText="1"/>
    </xf>
    <xf numFmtId="14" fontId="0" fillId="0" borderId="0" xfId="0" applyNumberFormat="1" applyAlignment="1">
      <alignment vertical="top" wrapText="1"/>
    </xf>
    <xf numFmtId="0" fontId="0" fillId="0" borderId="0" xfId="0" applyAlignment="1">
      <alignment horizontal="center"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wrapText="1"/>
    </xf>
    <xf numFmtId="1" fontId="0" fillId="0" borderId="1" xfId="0" applyNumberFormat="1" applyBorder="1" applyAlignment="1">
      <alignment vertical="top" wrapText="1"/>
    </xf>
    <xf numFmtId="9" fontId="0" fillId="0" borderId="1" xfId="3" applyFont="1" applyFill="1" applyBorder="1" applyAlignment="1">
      <alignment vertical="top" wrapText="1"/>
    </xf>
    <xf numFmtId="44" fontId="2" fillId="0" borderId="1" xfId="2" applyFont="1" applyFill="1" applyBorder="1" applyAlignment="1">
      <alignment vertical="top" wrapText="1"/>
    </xf>
    <xf numFmtId="44" fontId="0" fillId="0" borderId="1" xfId="2" applyFont="1" applyBorder="1" applyAlignment="1">
      <alignment horizontal="left" vertical="top" wrapText="1"/>
    </xf>
    <xf numFmtId="0" fontId="0" fillId="0" borderId="1" xfId="0" applyBorder="1" applyAlignment="1">
      <alignment horizontal="center" vertical="top" wrapText="1"/>
    </xf>
    <xf numFmtId="9" fontId="0" fillId="0" borderId="0" xfId="3" applyFont="1" applyFill="1"/>
    <xf numFmtId="43" fontId="0" fillId="0" borderId="0" xfId="1" applyFont="1" applyFill="1"/>
    <xf numFmtId="44" fontId="8" fillId="6" borderId="0" xfId="2" applyFont="1" applyFill="1" applyAlignment="1">
      <alignment horizontal="left" vertical="center"/>
    </xf>
    <xf numFmtId="0" fontId="1" fillId="0" borderId="0" xfId="0" applyFont="1" applyAlignment="1">
      <alignment vertical="center" wrapText="1"/>
    </xf>
    <xf numFmtId="14" fontId="0" fillId="0" borderId="0" xfId="0" applyNumberFormat="1" applyAlignment="1">
      <alignment vertical="center"/>
    </xf>
    <xf numFmtId="0" fontId="0" fillId="0" borderId="0" xfId="0" applyAlignment="1">
      <alignment vertical="center"/>
    </xf>
    <xf numFmtId="0" fontId="0" fillId="5" borderId="0" xfId="0" applyFill="1" applyAlignment="1">
      <alignment vertical="center"/>
    </xf>
    <xf numFmtId="44" fontId="0" fillId="0" borderId="0" xfId="2" applyFont="1" applyFill="1"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166" fontId="0" fillId="0" borderId="0" xfId="0" applyNumberFormat="1" applyAlignment="1">
      <alignment vertical="center"/>
    </xf>
    <xf numFmtId="44" fontId="0" fillId="0" borderId="0" xfId="2" applyFont="1" applyAlignment="1">
      <alignment vertical="center"/>
    </xf>
    <xf numFmtId="44" fontId="0" fillId="0" borderId="0" xfId="2" applyFont="1" applyBorder="1" applyAlignment="1">
      <alignment vertical="center"/>
    </xf>
    <xf numFmtId="0" fontId="0" fillId="0" borderId="0" xfId="2" applyNumberFormat="1" applyFont="1" applyBorder="1" applyAlignment="1">
      <alignment vertical="center" wrapText="1"/>
    </xf>
    <xf numFmtId="2" fontId="0" fillId="0" borderId="0" xfId="0" applyNumberFormat="1" applyAlignment="1">
      <alignment horizontal="center" vertical="center"/>
    </xf>
    <xf numFmtId="44" fontId="0" fillId="0" borderId="0" xfId="2" applyFont="1" applyBorder="1" applyAlignment="1">
      <alignment horizontal="center" vertical="center"/>
    </xf>
    <xf numFmtId="0" fontId="1" fillId="4" borderId="0" xfId="0" applyFont="1" applyFill="1" applyAlignment="1">
      <alignment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166" fontId="17" fillId="3" borderId="0" xfId="0" applyNumberFormat="1" applyFont="1" applyFill="1" applyAlignment="1">
      <alignment vertical="center" wrapText="1"/>
    </xf>
    <xf numFmtId="44" fontId="1" fillId="3" borderId="0" xfId="2" applyFont="1" applyFill="1" applyBorder="1" applyAlignment="1">
      <alignment vertical="center" wrapText="1"/>
    </xf>
    <xf numFmtId="0" fontId="1" fillId="3" borderId="0" xfId="2" applyNumberFormat="1" applyFont="1" applyFill="1" applyBorder="1" applyAlignment="1">
      <alignment vertical="center" wrapText="1"/>
    </xf>
    <xf numFmtId="44" fontId="1" fillId="0" borderId="0" xfId="2" applyFont="1" applyBorder="1" applyAlignment="1">
      <alignment horizontal="center" vertical="center" wrapText="1"/>
    </xf>
    <xf numFmtId="0" fontId="1" fillId="7" borderId="0" xfId="0" applyFont="1" applyFill="1" applyAlignment="1">
      <alignment horizontal="center" vertical="center" wrapText="1"/>
    </xf>
    <xf numFmtId="0" fontId="3" fillId="0" borderId="0" xfId="0" applyFont="1" applyAlignment="1">
      <alignment vertical="center" wrapText="1"/>
    </xf>
    <xf numFmtId="0" fontId="0" fillId="0" borderId="0" xfId="0" applyAlignment="1">
      <alignment horizontal="left" vertical="center"/>
    </xf>
    <xf numFmtId="14" fontId="0" fillId="0" borderId="0" xfId="0" applyNumberFormat="1" applyAlignment="1">
      <alignment horizontal="left" vertical="center" wrapText="1"/>
    </xf>
    <xf numFmtId="1" fontId="0" fillId="5" borderId="0" xfId="0" applyNumberFormat="1" applyFill="1" applyAlignment="1">
      <alignment horizontal="left" vertical="center" wrapText="1"/>
    </xf>
    <xf numFmtId="44" fontId="0" fillId="5" borderId="0" xfId="2" applyFont="1" applyFill="1" applyAlignment="1">
      <alignment horizontal="left" vertical="center" wrapText="1"/>
    </xf>
    <xf numFmtId="0" fontId="19" fillId="0" borderId="0" xfId="0" applyFont="1" applyAlignment="1">
      <alignment horizontal="left" vertical="center" wrapText="1"/>
    </xf>
    <xf numFmtId="44" fontId="8" fillId="6" borderId="0" xfId="2" applyFont="1" applyFill="1" applyBorder="1" applyAlignment="1">
      <alignment horizontal="left" vertical="center"/>
    </xf>
    <xf numFmtId="44" fontId="2" fillId="5" borderId="0" xfId="2" applyFont="1" applyFill="1" applyBorder="1" applyAlignment="1">
      <alignment horizontal="left" vertical="center" wrapText="1"/>
    </xf>
    <xf numFmtId="44" fontId="0" fillId="5" borderId="0" xfId="2" applyFont="1" applyFill="1" applyBorder="1" applyAlignment="1">
      <alignment horizontal="left" vertical="center" wrapText="1"/>
    </xf>
    <xf numFmtId="165" fontId="0" fillId="5" borderId="0" xfId="3" applyNumberFormat="1" applyFont="1" applyFill="1" applyBorder="1" applyAlignment="1">
      <alignment horizontal="left" vertical="center" wrapText="1"/>
    </xf>
    <xf numFmtId="44" fontId="0" fillId="5" borderId="0" xfId="2" applyFont="1" applyFill="1" applyBorder="1" applyAlignment="1">
      <alignment horizontal="left" vertical="center"/>
    </xf>
    <xf numFmtId="0" fontId="0" fillId="0" borderId="0" xfId="2" applyNumberFormat="1" applyFont="1" applyFill="1" applyBorder="1" applyAlignment="1">
      <alignment horizontal="left" vertical="center" wrapText="1"/>
    </xf>
    <xf numFmtId="44" fontId="0" fillId="0" borderId="0" xfId="2" applyFont="1" applyFill="1" applyAlignment="1">
      <alignment horizontal="left" vertical="center"/>
    </xf>
    <xf numFmtId="0" fontId="16" fillId="0" borderId="0" xfId="0" applyFont="1" applyAlignment="1">
      <alignment vertical="center" wrapText="1"/>
    </xf>
    <xf numFmtId="0" fontId="7" fillId="0" borderId="0" xfId="0" applyFont="1" applyAlignment="1">
      <alignment horizontal="left" vertical="center" wrapText="1"/>
    </xf>
    <xf numFmtId="0" fontId="0" fillId="0" borderId="0" xfId="0" applyAlignment="1" applyProtection="1">
      <alignment vertical="center"/>
      <protection locked="0"/>
    </xf>
    <xf numFmtId="0" fontId="1" fillId="3" borderId="0" xfId="0" applyFont="1" applyFill="1" applyAlignment="1" applyProtection="1">
      <alignment vertical="center" wrapText="1"/>
      <protection locked="0"/>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44" fontId="8" fillId="0" borderId="0" xfId="2" applyFont="1" applyFill="1" applyAlignment="1">
      <alignment horizontal="left" vertical="center" wrapText="1"/>
    </xf>
    <xf numFmtId="44" fontId="0" fillId="0" borderId="0" xfId="2" applyFont="1" applyFill="1" applyBorder="1" applyAlignment="1">
      <alignment horizontal="left" vertical="center"/>
    </xf>
    <xf numFmtId="44" fontId="8" fillId="0" borderId="0" xfId="2" applyFont="1" applyFill="1" applyAlignment="1">
      <alignment horizontal="left" vertical="center"/>
    </xf>
    <xf numFmtId="0" fontId="24" fillId="0" borderId="0" xfId="0" applyFont="1" applyAlignment="1">
      <alignment wrapText="1"/>
    </xf>
    <xf numFmtId="0" fontId="1" fillId="6" borderId="0" xfId="0" applyFont="1" applyFill="1" applyAlignment="1">
      <alignment vertical="center" wrapText="1"/>
    </xf>
    <xf numFmtId="0" fontId="1" fillId="6" borderId="0" xfId="0" applyFont="1" applyFill="1" applyAlignment="1">
      <alignment horizontal="left" vertical="center" wrapText="1"/>
    </xf>
    <xf numFmtId="44" fontId="16" fillId="0" borderId="0" xfId="2" applyFont="1" applyAlignment="1">
      <alignment vertical="top" wrapText="1"/>
    </xf>
    <xf numFmtId="44" fontId="19" fillId="0" borderId="0" xfId="2" applyFont="1" applyAlignment="1">
      <alignment vertical="top"/>
    </xf>
    <xf numFmtId="166" fontId="19" fillId="0" borderId="0" xfId="2" applyNumberFormat="1" applyFont="1" applyAlignment="1">
      <alignment vertical="top"/>
    </xf>
    <xf numFmtId="44" fontId="0" fillId="7" borderId="0" xfId="2" applyFont="1" applyFill="1" applyBorder="1" applyAlignment="1">
      <alignment horizontal="left" vertical="top"/>
    </xf>
    <xf numFmtId="44" fontId="0" fillId="3" borderId="0" xfId="2" applyFont="1" applyFill="1" applyBorder="1" applyAlignment="1">
      <alignment vertical="center"/>
    </xf>
    <xf numFmtId="0" fontId="16" fillId="0" borderId="0" xfId="0" applyFont="1" applyAlignment="1">
      <alignment horizontal="left" vertical="top" wrapText="1"/>
    </xf>
    <xf numFmtId="0" fontId="0" fillId="8" borderId="0" xfId="0" applyFill="1" applyAlignment="1">
      <alignment horizontal="left" vertical="top"/>
    </xf>
    <xf numFmtId="0" fontId="0" fillId="8" borderId="0" xfId="0" applyFill="1" applyAlignment="1">
      <alignment horizontal="left" vertical="top" wrapText="1"/>
    </xf>
    <xf numFmtId="44" fontId="16" fillId="0" borderId="0" xfId="2" applyFont="1" applyFill="1" applyAlignment="1">
      <alignment vertical="top" wrapText="1"/>
    </xf>
    <xf numFmtId="44" fontId="19" fillId="0" borderId="0" xfId="2" applyFont="1" applyFill="1" applyAlignment="1">
      <alignment vertical="top"/>
    </xf>
    <xf numFmtId="0" fontId="16" fillId="0" borderId="0" xfId="0" applyFont="1" applyAlignment="1">
      <alignment wrapText="1"/>
    </xf>
    <xf numFmtId="0" fontId="27" fillId="6" borderId="0" xfId="0" applyFont="1" applyFill="1" applyAlignment="1">
      <alignment vertical="center" wrapText="1"/>
    </xf>
    <xf numFmtId="0" fontId="11" fillId="3" borderId="0" xfId="0" applyFont="1" applyFill="1" applyAlignment="1">
      <alignment vertical="center" wrapText="1"/>
    </xf>
    <xf numFmtId="0" fontId="28" fillId="0" borderId="0" xfId="0" applyFont="1" applyAlignment="1">
      <alignment wrapText="1"/>
    </xf>
    <xf numFmtId="8" fontId="19" fillId="0" borderId="0" xfId="2" applyNumberFormat="1" applyFont="1" applyAlignment="1">
      <alignment vertical="top"/>
    </xf>
    <xf numFmtId="0" fontId="1" fillId="0" borderId="0" xfId="0" applyFont="1" applyAlignment="1">
      <alignment horizontal="left" vertical="center" wrapText="1"/>
    </xf>
    <xf numFmtId="44" fontId="0" fillId="0" borderId="1" xfId="2" applyFont="1" applyBorder="1" applyAlignment="1">
      <alignment vertical="top" wrapText="1"/>
    </xf>
    <xf numFmtId="10" fontId="0" fillId="0" borderId="1" xfId="3" applyNumberFormat="1" applyFont="1" applyBorder="1" applyAlignment="1">
      <alignment vertical="top" wrapText="1"/>
    </xf>
    <xf numFmtId="44" fontId="0" fillId="0" borderId="0" xfId="0" applyNumberFormat="1"/>
    <xf numFmtId="0" fontId="24" fillId="0" borderId="0" xfId="0" applyFont="1" applyAlignment="1">
      <alignment vertical="top" wrapText="1"/>
    </xf>
    <xf numFmtId="0" fontId="8" fillId="0" borderId="3" xfId="0" applyFont="1" applyBorder="1" applyAlignment="1">
      <alignment horizontal="left" vertical="center" wrapText="1"/>
    </xf>
    <xf numFmtId="0" fontId="7" fillId="0" borderId="3" xfId="0" applyFont="1" applyBorder="1" applyAlignment="1">
      <alignment horizontal="left" vertical="center" wrapText="1"/>
    </xf>
    <xf numFmtId="0" fontId="20" fillId="0" borderId="2" xfId="0" applyFont="1" applyBorder="1" applyAlignment="1">
      <alignment vertical="top" wrapText="1"/>
    </xf>
    <xf numFmtId="10" fontId="0" fillId="0" borderId="0" xfId="3" applyNumberFormat="1" applyFont="1"/>
    <xf numFmtId="0" fontId="1" fillId="9" borderId="0" xfId="0" applyFont="1" applyFill="1" applyAlignment="1">
      <alignment horizontal="center" vertical="center" wrapText="1"/>
    </xf>
    <xf numFmtId="0" fontId="29" fillId="0" borderId="0" xfId="0" applyFont="1" applyAlignment="1">
      <alignment horizontal="left" vertical="top" wrapText="1"/>
    </xf>
    <xf numFmtId="0" fontId="29" fillId="0" borderId="0" xfId="0" applyFont="1" applyAlignment="1">
      <alignment vertical="top" wrapText="1"/>
    </xf>
  </cellXfs>
  <cellStyles count="4">
    <cellStyle name="Comma" xfId="1" builtinId="3"/>
    <cellStyle name="Currency" xfId="2" builtinId="4"/>
    <cellStyle name="Normal" xfId="0" builtinId="0"/>
    <cellStyle name="Percent" xfId="3" builtinId="5"/>
  </cellStyles>
  <dxfs count="4">
    <dxf>
      <font>
        <color rgb="FFFF0000"/>
      </font>
      <fill>
        <patternFill>
          <bgColor rgb="FFFFFF00"/>
        </patternFill>
      </fill>
    </dxf>
    <dxf>
      <font>
        <color rgb="FF9C0006"/>
      </font>
      <fill>
        <patternFill>
          <bgColor rgb="FFFFC7CE"/>
        </patternFill>
      </fill>
    </dxf>
    <dxf>
      <numFmt numFmtId="19" formatCode="m/d/yyyy"/>
    </dxf>
    <dxf>
      <numFmt numFmtId="19" formatCode="m/d/yyyy"/>
    </dxf>
  </dxfs>
  <tableStyles count="0" defaultTableStyle="TableStyleMedium2" defaultPivotStyle="PivotStyleLight16"/>
  <colors>
    <mruColors>
      <color rgb="FF000000"/>
      <color rgb="FFFFFFCC"/>
      <color rgb="FF1D58A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BUDGETED BY AREA SERVED</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2FDF-41A2-A725-3235DE2FB77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FDF-41A2-A725-3235DE2FB77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2FDF-41A2-A725-3235DE2FB77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FDF-41A2-A725-3235DE2FB77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CBB-4167-9D3B-5B35923294E0}"/>
              </c:ext>
            </c:extLst>
          </c:dPt>
          <c:dLbls>
            <c:dLbl>
              <c:idx val="0"/>
              <c:layout>
                <c:manualLayout>
                  <c:x val="0.16244065505435623"/>
                  <c:y val="0.1164790216760379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Urban (Clark) </a:t>
                    </a:r>
                    <a:fld id="{1746CB92-6257-4468-9FC8-9D5EE74FC412}" type="VALUE">
                      <a:rPr lang="en-US"/>
                      <a:pPr>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2FDF-41A2-A725-3235DE2FB774}"/>
                </c:ext>
              </c:extLst>
            </c:dLbl>
            <c:dLbl>
              <c:idx val="1"/>
              <c:layout>
                <c:manualLayout>
                  <c:x val="0.13222672864109369"/>
                  <c:y val="0.18402095780296324"/>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Rural </a:t>
                    </a:r>
                  </a:p>
                  <a:p>
                    <a:pPr>
                      <a:defRPr>
                        <a:solidFill>
                          <a:schemeClr val="accent1"/>
                        </a:solidFill>
                      </a:defRPr>
                    </a:pPr>
                    <a:fld id="{A8922C22-D154-414A-A3FA-D802E35C0056}" type="VALUE">
                      <a:rPr lang="en-US"/>
                      <a:pPr>
                        <a:defRPr>
                          <a:solidFill>
                            <a:schemeClr val="accent1"/>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2FDF-41A2-A725-3235DE2FB774}"/>
                </c:ext>
              </c:extLst>
            </c:dLbl>
            <c:dLbl>
              <c:idx val="2"/>
              <c:layout>
                <c:manualLayout>
                  <c:x val="-0.14802222656543873"/>
                  <c:y val="-0.24000114331279279"/>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Statewide</a:t>
                    </a:r>
                  </a:p>
                  <a:p>
                    <a:pPr>
                      <a:defRPr>
                        <a:solidFill>
                          <a:schemeClr val="accent1"/>
                        </a:solidFill>
                      </a:defRPr>
                    </a:pPr>
                    <a:fld id="{4F9B9AD6-2E9C-431F-A1EC-B69593BE8B01}" type="VALUE">
                      <a:rPr lang="en-US"/>
                      <a:pPr>
                        <a:defRPr>
                          <a:solidFill>
                            <a:schemeClr val="accent1"/>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2FDF-41A2-A725-3235DE2FB774}"/>
                </c:ext>
              </c:extLst>
            </c:dLbl>
            <c:dLbl>
              <c:idx val="3"/>
              <c:layout>
                <c:manualLayout>
                  <c:x val="-0.3307166891103045"/>
                  <c:y val="5.4097383865804392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Urban (Washoe) </a:t>
                    </a:r>
                    <a:fld id="{D725F9B5-955D-4E15-9D83-0348F7911C42}" type="VALUE">
                      <a:rPr lang="en-US"/>
                      <a:pPr>
                        <a:defRPr>
                          <a:solidFill>
                            <a:schemeClr val="accent1"/>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2FDF-41A2-A725-3235DE2FB774}"/>
                </c:ext>
              </c:extLst>
            </c:dLbl>
            <c:dLbl>
              <c:idx val="4"/>
              <c:layout>
                <c:manualLayout>
                  <c:x val="0.17178637690424292"/>
                  <c:y val="7.2083672907004695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t>Urban (Clark/Washoe) </a:t>
                    </a:r>
                    <a:fld id="{073A3A03-FA5C-4A41-8A58-A771388D2EC9}" type="VALUE">
                      <a:rPr lang="en-US"/>
                      <a:pPr>
                        <a:defRPr>
                          <a:solidFill>
                            <a:schemeClr val="accent1"/>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ACBB-4167-9D3B-5B35923294E0}"/>
                </c:ext>
              </c:extLst>
            </c:dLbl>
            <c:spPr>
              <a:noFill/>
              <a:ln>
                <a:noFill/>
              </a:ln>
              <a:effectLst/>
            </c:sp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Charts!$B$4:$B$8</c:f>
              <c:strCache>
                <c:ptCount val="5"/>
                <c:pt idx="0">
                  <c:v>Clark</c:v>
                </c:pt>
                <c:pt idx="1">
                  <c:v>Rural</c:v>
                </c:pt>
                <c:pt idx="2">
                  <c:v>Statewide</c:v>
                </c:pt>
                <c:pt idx="3">
                  <c:v>Washoe</c:v>
                </c:pt>
                <c:pt idx="4">
                  <c:v>Urban (Clark/Washoe)</c:v>
                </c:pt>
              </c:strCache>
            </c:strRef>
          </c:cat>
          <c:val>
            <c:numRef>
              <c:f>Charts!$D$4:$D$8</c:f>
              <c:numCache>
                <c:formatCode>0.0%</c:formatCode>
                <c:ptCount val="5"/>
                <c:pt idx="0">
                  <c:v>0.12978123893929319</c:v>
                </c:pt>
                <c:pt idx="1">
                  <c:v>1.7384252161229095E-2</c:v>
                </c:pt>
                <c:pt idx="2">
                  <c:v>0.81443904318711791</c:v>
                </c:pt>
                <c:pt idx="3">
                  <c:v>3.0317020573499429E-2</c:v>
                </c:pt>
                <c:pt idx="4">
                  <c:v>8.0784451388603452E-3</c:v>
                </c:pt>
              </c:numCache>
            </c:numRef>
          </c:val>
          <c:extLst>
            <c:ext xmlns:c16="http://schemas.microsoft.com/office/drawing/2014/chart" uri="{C3380CC4-5D6E-409C-BE32-E72D297353CC}">
              <c16:uniqueId val="{00000001-2FDF-41A2-A725-3235DE2FB774}"/>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FDF-41A2-A725-3235DE2FB77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FDF-41A2-A725-3235DE2FB77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2FDF-41A2-A725-3235DE2FB77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FDF-41A2-A725-3235DE2FB77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ACBB-4167-9D3B-5B35923294E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FDF-41A2-A725-3235DE2FB77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FDF-41A2-A725-3235DE2FB77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FDF-41A2-A725-3235DE2FB77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5-2FDF-41A2-A725-3235DE2FB77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10-ACBB-4167-9D3B-5B35923294E0}"/>
                      </c:ext>
                    </c:extLst>
                  </c:dLbl>
                  <c:spPr>
                    <a:noFill/>
                    <a:ln>
                      <a:noFill/>
                    </a:ln>
                    <a:effectLst/>
                  </c:sp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Charts!$B$4:$B$8</c15:sqref>
                        </c15:formulaRef>
                      </c:ext>
                    </c:extLst>
                    <c:strCache>
                      <c:ptCount val="5"/>
                      <c:pt idx="0">
                        <c:v>Clark</c:v>
                      </c:pt>
                      <c:pt idx="1">
                        <c:v>Rural</c:v>
                      </c:pt>
                      <c:pt idx="2">
                        <c:v>Statewide</c:v>
                      </c:pt>
                      <c:pt idx="3">
                        <c:v>Washoe</c:v>
                      </c:pt>
                      <c:pt idx="4">
                        <c:v>Urban (Clark/Washoe)</c:v>
                      </c:pt>
                    </c:strCache>
                  </c:strRef>
                </c:cat>
                <c:val>
                  <c:numRef>
                    <c:extLst>
                      <c:ext uri="{02D57815-91ED-43cb-92C2-25804820EDAC}">
                        <c15:formulaRef>
                          <c15:sqref>Charts!$C$4:$C$8</c15:sqref>
                        </c15:formulaRef>
                      </c:ext>
                    </c:extLst>
                    <c:numCache>
                      <c:formatCode>_(* #,##0.00_);_(* \(#,##0.00\);_(* "-"??_);_(@_)</c:formatCode>
                      <c:ptCount val="5"/>
                      <c:pt idx="0">
                        <c:v>62463812.390000001</c:v>
                      </c:pt>
                      <c:pt idx="1">
                        <c:v>8367054.2400000002</c:v>
                      </c:pt>
                      <c:pt idx="2">
                        <c:v>391990152.14000005</c:v>
                      </c:pt>
                      <c:pt idx="3">
                        <c:v>14591605.85</c:v>
                      </c:pt>
                      <c:pt idx="4">
                        <c:v>3888162</c:v>
                      </c:pt>
                    </c:numCache>
                  </c:numRef>
                </c:val>
                <c:extLst>
                  <c:ext xmlns:c16="http://schemas.microsoft.com/office/drawing/2014/chart" uri="{C3380CC4-5D6E-409C-BE32-E72D297353CC}">
                    <c16:uniqueId val="{00000000-2FDF-41A2-A725-3235DE2FB774}"/>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BUDGETED</a:t>
            </a:r>
            <a:r>
              <a:rPr lang="en-US" baseline="0"/>
              <a:t> BY TOPIC</a:t>
            </a:r>
            <a:endParaRPr lang="en-US"/>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1"/>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A2B6-47CA-817C-ED4FC7E696A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2B6-47CA-817C-ED4FC7E696A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A2B6-47CA-817C-ED4FC7E696A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2B6-47CA-817C-ED4FC7E696A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A2B6-47CA-817C-ED4FC7E696A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2B6-47CA-817C-ED4FC7E696AF}"/>
              </c:ext>
            </c:extLst>
          </c:dPt>
          <c:dLbls>
            <c:dLbl>
              <c:idx val="0"/>
              <c:layout>
                <c:manualLayout>
                  <c:x val="4.8531289910600163E-2"/>
                  <c:y val="7.117435063212534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6B23E4E0-B484-404D-80B3-A37E8B004D40}" type="CATEGORYNAME">
                      <a:rPr lang="en-US"/>
                      <a:pPr>
                        <a:defRPr/>
                      </a:pPr>
                      <a:t>[CATEGORY NAME]</a:t>
                    </a:fld>
                    <a:r>
                      <a:rPr lang="en-US" baseline="0"/>
                      <a:t>
21.7%</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A2B6-47CA-817C-ED4FC7E696A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0924D377-CD2A-486A-86A5-61BDAAD7BED6}" type="CATEGORYNAME">
                      <a:rPr lang="en-US"/>
                      <a:pPr>
                        <a:defRPr>
                          <a:solidFill>
                            <a:schemeClr val="accent1"/>
                          </a:solidFill>
                        </a:defRPr>
                      </a:pPr>
                      <a:t>[CATEGORY NAME]</a:t>
                    </a:fld>
                    <a:r>
                      <a:rPr lang="en-US" baseline="0"/>
                      <a:t>
15.4%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2B6-47CA-817C-ED4FC7E696A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1ABAC176-6F5C-4472-B78A-7E36C7E70E74}" type="CATEGORYNAME">
                      <a:rPr lang="en-US"/>
                      <a:pPr>
                        <a:defRPr>
                          <a:solidFill>
                            <a:schemeClr val="accent1"/>
                          </a:solidFill>
                        </a:defRPr>
                      </a:pPr>
                      <a:t>[CATEGORY NAME]</a:t>
                    </a:fld>
                    <a:r>
                      <a:rPr lang="en-US" baseline="0"/>
                      <a:t>
33.9%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A2B6-47CA-817C-ED4FC7E696AF}"/>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740D6F1-0709-4542-8512-53B34DAECDCD}" type="CATEGORYNAME">
                      <a:rPr lang="en-US"/>
                      <a:pPr>
                        <a:defRPr>
                          <a:solidFill>
                            <a:schemeClr val="accent1"/>
                          </a:solidFill>
                        </a:defRPr>
                      </a:pPr>
                      <a:t>[CATEGORY NAME]</a:t>
                    </a:fld>
                    <a:r>
                      <a:rPr lang="en-US" baseline="0"/>
                      <a:t>
13.8%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2B6-47CA-817C-ED4FC7E696AF}"/>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8965A7B-7954-447D-A731-D0808C1B540F}" type="CATEGORYNAME">
                      <a:rPr lang="en-US"/>
                      <a:pPr>
                        <a:defRPr>
                          <a:solidFill>
                            <a:schemeClr val="accent1"/>
                          </a:solidFill>
                        </a:defRPr>
                      </a:pPr>
                      <a:t>[CATEGORY NAME]</a:t>
                    </a:fld>
                    <a:r>
                      <a:rPr lang="en-US" baseline="0"/>
                      <a:t>
3.5%</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A2B6-47CA-817C-ED4FC7E696AF}"/>
                </c:ext>
              </c:extLst>
            </c:dLbl>
            <c:dLbl>
              <c:idx val="5"/>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F3FCA1C-AB61-4B48-8CD5-B5C872972EEA}" type="CATEGORYNAME">
                      <a:rPr lang="en-US"/>
                      <a:pPr>
                        <a:defRPr>
                          <a:solidFill>
                            <a:schemeClr val="accent1"/>
                          </a:solidFill>
                        </a:defRPr>
                      </a:pPr>
                      <a:t>[CATEGORY NAME]</a:t>
                    </a:fld>
                    <a:r>
                      <a:rPr lang="en-US" baseline="0"/>
                      <a:t>
11.6%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2B6-47CA-817C-ED4FC7E696AF}"/>
                </c:ext>
              </c:extLst>
            </c:dLbl>
            <c:spPr>
              <a:solidFill>
                <a:sysClr val="window" lastClr="FFFFFF"/>
              </a:solidFill>
              <a:ln>
                <a:solidFill>
                  <a:srgbClr val="ED7D31"/>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Charts!$B$27:$B$32</c:f>
              <c:strCache>
                <c:ptCount val="6"/>
                <c:pt idx="0">
                  <c:v>Behavioral Health (Adult/Children)</c:v>
                </c:pt>
                <c:pt idx="1">
                  <c:v>Child Care</c:v>
                </c:pt>
                <c:pt idx="2">
                  <c:v>Infrastructure</c:v>
                </c:pt>
                <c:pt idx="3">
                  <c:v>Public Health</c:v>
                </c:pt>
                <c:pt idx="4">
                  <c:v>Social Services</c:v>
                </c:pt>
                <c:pt idx="5">
                  <c:v>Workforce</c:v>
                </c:pt>
              </c:strCache>
            </c:strRef>
          </c:cat>
          <c:val>
            <c:numRef>
              <c:f>Charts!$D$27:$D$32</c:f>
              <c:numCache>
                <c:formatCode>0.0%</c:formatCode>
                <c:ptCount val="6"/>
                <c:pt idx="0">
                  <c:v>0.22622539394677044</c:v>
                </c:pt>
                <c:pt idx="1">
                  <c:v>0.16630822601002132</c:v>
                </c:pt>
                <c:pt idx="2">
                  <c:v>0.34249858130846872</c:v>
                </c:pt>
                <c:pt idx="3">
                  <c:v>0.14042778264429176</c:v>
                </c:pt>
                <c:pt idx="4">
                  <c:v>3.8279236191122445E-2</c:v>
                </c:pt>
                <c:pt idx="5">
                  <c:v>8.6260779899325388E-2</c:v>
                </c:pt>
              </c:numCache>
            </c:numRef>
          </c:val>
          <c:extLst>
            <c:ext xmlns:c16="http://schemas.microsoft.com/office/drawing/2014/chart" uri="{C3380CC4-5D6E-409C-BE32-E72D297353CC}">
              <c16:uniqueId val="{00000001-A2B6-47CA-817C-ED4FC7E696AF}"/>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A2B6-47CA-817C-ED4FC7E696A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2B6-47CA-817C-ED4FC7E696A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A2B6-47CA-817C-ED4FC7E696A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2B6-47CA-817C-ED4FC7E696A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A2B6-47CA-817C-ED4FC7E696A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2B6-47CA-817C-ED4FC7E696AF}"/>
                    </c:ext>
                  </c:extLst>
                </c:dPt>
                <c:dLbls>
                  <c:dLbl>
                    <c:idx val="0"/>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fld id="{4FCCBA85-D5A4-4A40-B9F5-E0425AAA5B74}" type="CATEGORYNAME">
                            <a:rPr lang="en-US"/>
                            <a:pPr>
                              <a:defRPr/>
                            </a:pPr>
                            <a:t>[CATEGORY NAME]</a:t>
                          </a:fld>
                          <a:r>
                            <a:rPr lang="en-US"/>
                            <a:t> 24%</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layout>
                          <c:manualLayout>
                            <c:w val="0.25527729120253051"/>
                            <c:h val="0.24113869994164078"/>
                          </c:manualLayout>
                        </c15:layout>
                        <c15:dlblFieldTable/>
                        <c15:showDataLabelsRange val="0"/>
                      </c:ext>
                      <c:ext xmlns:c16="http://schemas.microsoft.com/office/drawing/2014/chart" uri="{C3380CC4-5D6E-409C-BE32-E72D297353CC}">
                        <c16:uniqueId val="{00000002-A2B6-47CA-817C-ED4FC7E696A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E0F5512-6811-4587-B791-ABF5A2503BA8}" type="CATEGORYNAME">
                            <a:rPr lang="en-US"/>
                            <a:pPr>
                              <a:defRPr>
                                <a:solidFill>
                                  <a:schemeClr val="accent1"/>
                                </a:solidFill>
                              </a:defRPr>
                            </a:pPr>
                            <a:t>[CATEGORY NAME]</a:t>
                          </a:fld>
                          <a:r>
                            <a:rPr lang="en-US"/>
                            <a:t> 14%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03-A2B6-47CA-817C-ED4FC7E696A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1E2C140-0242-4DBD-A3F3-982A3C02DE40}" type="CATEGORYNAME">
                            <a:rPr lang="en-US"/>
                            <a:pPr>
                              <a:defRPr>
                                <a:solidFill>
                                  <a:schemeClr val="accent1"/>
                                </a:solidFill>
                              </a:defRPr>
                            </a:pPr>
                            <a:t>[CATEGORY NAME]</a:t>
                          </a:fld>
                          <a:r>
                            <a:rPr lang="en-US"/>
                            <a:t> 34%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04-A2B6-47CA-817C-ED4FC7E696AF}"/>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57C8582-03A1-4333-8A04-87404DFD4DD5}" type="CATEGORYNAME">
                            <a:rPr lang="en-US"/>
                            <a:pPr>
                              <a:defRPr>
                                <a:solidFill>
                                  <a:schemeClr val="accent1"/>
                                </a:solidFill>
                              </a:defRPr>
                            </a:pPr>
                            <a:t>[CATEGORY NAME]</a:t>
                          </a:fld>
                          <a:r>
                            <a:rPr lang="en-US"/>
                            <a:t> 14%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05-A2B6-47CA-817C-ED4FC7E696AF}"/>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0DAF878-FE87-420F-85BE-08B3291A419E}" type="CATEGORYNAME">
                            <a:rPr lang="en-US"/>
                            <a:pPr>
                              <a:defRPr>
                                <a:solidFill>
                                  <a:schemeClr val="accent1"/>
                                </a:solidFill>
                              </a:defRPr>
                            </a:pPr>
                            <a:t>[CATEGORY NAME]</a:t>
                          </a:fld>
                          <a:r>
                            <a:rPr lang="en-US"/>
                            <a:t> 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06-A2B6-47CA-817C-ED4FC7E696AF}"/>
                      </c:ext>
                    </c:extLst>
                  </c:dLbl>
                  <c:dLbl>
                    <c:idx val="5"/>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F2C2B07-3129-485B-8BA8-D2DA40C63B6B}" type="CATEGORYNAME">
                            <a:rPr lang="en-US"/>
                            <a:pPr>
                              <a:defRPr>
                                <a:solidFill>
                                  <a:schemeClr val="accent1"/>
                                </a:solidFill>
                              </a:defRPr>
                            </a:pPr>
                            <a:t>[CATEGORY NAME]</a:t>
                          </a:fld>
                          <a:r>
                            <a:rPr lang="en-US"/>
                            <a:t> 11% </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showLegendKey val="0"/>
                    <c:showVal val="0"/>
                    <c:showCatName val="1"/>
                    <c:showSerName val="0"/>
                    <c:showPercent val="1"/>
                    <c:showBubbleSize val="0"/>
                    <c:extLst>
                      <c:ext uri="{CE6537A1-D6FC-4f65-9D91-7224C49458BB}">
                        <c15:dlblFieldTable/>
                        <c15:showDataLabelsRange val="0"/>
                      </c:ext>
                      <c:ext xmlns:c16="http://schemas.microsoft.com/office/drawing/2014/chart" uri="{C3380CC4-5D6E-409C-BE32-E72D297353CC}">
                        <c16:uniqueId val="{00000007-A2B6-47CA-817C-ED4FC7E696AF}"/>
                      </c:ext>
                    </c:extLst>
                  </c:dLbl>
                  <c:spPr>
                    <a:solidFill>
                      <a:sysClr val="window" lastClr="FFFFFF"/>
                    </a:solidFill>
                    <a:ln>
                      <a:solidFill>
                        <a:srgbClr val="4472C4"/>
                      </a:solidFill>
                    </a:ln>
                    <a:effectLst/>
                  </c:sp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Charts!$B$27:$B$32</c15:sqref>
                        </c15:formulaRef>
                      </c:ext>
                    </c:extLst>
                    <c:strCache>
                      <c:ptCount val="6"/>
                      <c:pt idx="0">
                        <c:v>Behavioral Health (Adult/Children)</c:v>
                      </c:pt>
                      <c:pt idx="1">
                        <c:v>Child Care</c:v>
                      </c:pt>
                      <c:pt idx="2">
                        <c:v>Infrastructure</c:v>
                      </c:pt>
                      <c:pt idx="3">
                        <c:v>Public Health</c:v>
                      </c:pt>
                      <c:pt idx="4">
                        <c:v>Social Services</c:v>
                      </c:pt>
                      <c:pt idx="5">
                        <c:v>Workforce</c:v>
                      </c:pt>
                    </c:strCache>
                  </c:strRef>
                </c:cat>
                <c:val>
                  <c:numRef>
                    <c:extLst>
                      <c:ext uri="{02D57815-91ED-43cb-92C2-25804820EDAC}">
                        <c15:formulaRef>
                          <c15:sqref>Charts!$C$27:$C$32</c15:sqref>
                        </c15:formulaRef>
                      </c:ext>
                    </c:extLst>
                    <c:numCache>
                      <c:formatCode>_(* #,##0.00_);_(* \(#,##0.00\);_(* "-"??_);_(@_)</c:formatCode>
                      <c:ptCount val="6"/>
                      <c:pt idx="0">
                        <c:v>108882460.05999999</c:v>
                      </c:pt>
                      <c:pt idx="1">
                        <c:v>80044280</c:v>
                      </c:pt>
                      <c:pt idx="2">
                        <c:v>164844836.59999999</c:v>
                      </c:pt>
                      <c:pt idx="3">
                        <c:v>67588002.25</c:v>
                      </c:pt>
                      <c:pt idx="4">
                        <c:v>18423826.490000002</c:v>
                      </c:pt>
                      <c:pt idx="5">
                        <c:v>41517381.219999991</c:v>
                      </c:pt>
                    </c:numCache>
                  </c:numRef>
                </c:val>
                <c:extLst>
                  <c:ext xmlns:c16="http://schemas.microsoft.com/office/drawing/2014/chart" uri="{C3380CC4-5D6E-409C-BE32-E72D297353CC}">
                    <c16:uniqueId val="{00000000-A2B6-47CA-817C-ED4FC7E696A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COMPLETED PROJECTS BY TOPIC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Charts!$B$68:$B$73</c:f>
              <c:strCache>
                <c:ptCount val="6"/>
                <c:pt idx="0">
                  <c:v>Behavioral Health (Adult/Children)</c:v>
                </c:pt>
                <c:pt idx="1">
                  <c:v>Child Care</c:v>
                </c:pt>
                <c:pt idx="2">
                  <c:v>Infrastructure</c:v>
                </c:pt>
                <c:pt idx="3">
                  <c:v>Public Health</c:v>
                </c:pt>
                <c:pt idx="4">
                  <c:v>Social Services</c:v>
                </c:pt>
                <c:pt idx="5">
                  <c:v>Workforce</c:v>
                </c:pt>
              </c:strCache>
            </c:strRef>
          </c:cat>
          <c:val>
            <c:numRef>
              <c:f>Charts!$C$68:$C$73</c:f>
              <c:numCache>
                <c:formatCode>General</c:formatCode>
                <c:ptCount val="6"/>
                <c:pt idx="0">
                  <c:v>27</c:v>
                </c:pt>
                <c:pt idx="1">
                  <c:v>2</c:v>
                </c:pt>
                <c:pt idx="2">
                  <c:v>16</c:v>
                </c:pt>
                <c:pt idx="3">
                  <c:v>9</c:v>
                </c:pt>
                <c:pt idx="4">
                  <c:v>16</c:v>
                </c:pt>
                <c:pt idx="5">
                  <c:v>13</c:v>
                </c:pt>
              </c:numCache>
            </c:numRef>
          </c:val>
          <c:extLst>
            <c:ext xmlns:c16="http://schemas.microsoft.com/office/drawing/2014/chart" uri="{C3380CC4-5D6E-409C-BE32-E72D297353CC}">
              <c16:uniqueId val="{00000000-3C4C-4F87-B3E3-0AEE45FA64C2}"/>
            </c:ext>
          </c:extLst>
        </c:ser>
        <c:dLbls>
          <c:showLegendKey val="0"/>
          <c:showVal val="0"/>
          <c:showCatName val="0"/>
          <c:showSerName val="0"/>
          <c:showPercent val="0"/>
          <c:showBubbleSize val="0"/>
        </c:dLbls>
        <c:gapWidth val="182"/>
        <c:axId val="1610702367"/>
        <c:axId val="1610701887"/>
      </c:barChart>
      <c:catAx>
        <c:axId val="1610702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701887"/>
        <c:crosses val="autoZero"/>
        <c:auto val="1"/>
        <c:lblAlgn val="ctr"/>
        <c:lblOffset val="100"/>
        <c:noMultiLvlLbl val="0"/>
      </c:catAx>
      <c:valAx>
        <c:axId val="16107018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0702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23812</xdr:colOff>
      <xdr:row>9</xdr:row>
      <xdr:rowOff>133350</xdr:rowOff>
    </xdr:from>
    <xdr:to>
      <xdr:col>4</xdr:col>
      <xdr:colOff>828675</xdr:colOff>
      <xdr:row>23</xdr:row>
      <xdr:rowOff>185737</xdr:rowOff>
    </xdr:to>
    <xdr:graphicFrame macro="">
      <xdr:nvGraphicFramePr>
        <xdr:cNvPr id="4" name="Chart 3">
          <a:extLst>
            <a:ext uri="{FF2B5EF4-FFF2-40B4-BE49-F238E27FC236}">
              <a16:creationId xmlns:a16="http://schemas.microsoft.com/office/drawing/2014/main" id="{3ED0B607-78CA-F7D7-B209-31EAAD0A4E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34</xdr:row>
      <xdr:rowOff>0</xdr:rowOff>
    </xdr:from>
    <xdr:to>
      <xdr:col>4</xdr:col>
      <xdr:colOff>781050</xdr:colOff>
      <xdr:row>48</xdr:row>
      <xdr:rowOff>9526</xdr:rowOff>
    </xdr:to>
    <xdr:graphicFrame macro="">
      <xdr:nvGraphicFramePr>
        <xdr:cNvPr id="5" name="Chart 4">
          <a:extLst>
            <a:ext uri="{FF2B5EF4-FFF2-40B4-BE49-F238E27FC236}">
              <a16:creationId xmlns:a16="http://schemas.microsoft.com/office/drawing/2014/main" id="{C036E80C-0B2A-38CE-710B-99DCE255F0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xdr:colOff>
      <xdr:row>75</xdr:row>
      <xdr:rowOff>4762</xdr:rowOff>
    </xdr:from>
    <xdr:to>
      <xdr:col>4</xdr:col>
      <xdr:colOff>357187</xdr:colOff>
      <xdr:row>89</xdr:row>
      <xdr:rowOff>80962</xdr:rowOff>
    </xdr:to>
    <xdr:graphicFrame macro="">
      <xdr:nvGraphicFramePr>
        <xdr:cNvPr id="6" name="Chart 5">
          <a:extLst>
            <a:ext uri="{FF2B5EF4-FFF2-40B4-BE49-F238E27FC236}">
              <a16:creationId xmlns:a16="http://schemas.microsoft.com/office/drawing/2014/main" id="{41CC5E7F-A03E-A4CB-6409-4739E371A5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0D6700CF-1F48-4279-940D-ACFCBA3F810D}"/>
  <namedSheetView name="View2" id="{2C3E8EFF-4B92-44ED-BE65-1EA66A2CF4C9}"/>
  <namedSheetView name="View3" id="{E40EBD3E-E19A-4A92-A4A1-970BB13F4BCE}"/>
  <namedSheetView name="View4" id="{40D3E964-3CA0-4F26-B0BC-75DF0B164E0A}"/>
</namedSheetViews>
</file>

<file path=xl/persons/person.xml><?xml version="1.0" encoding="utf-8"?>
<personList xmlns="http://schemas.microsoft.com/office/spreadsheetml/2018/threadedcomments" xmlns:x="http://schemas.openxmlformats.org/spreadsheetml/2006/main">
  <person displayName="Vickie S. Ives" id="{3967A72E-92C7-49E4-90C6-C452EE5A01C1}" userId="S::vives@health.nv.gov::400cddd8-2b1b-47a5-bbf3-439e74d530e4" providerId="AD"/>
  <person displayName="Debi Reynolds" id="{E2231ECC-C676-45E9-833C-729BC9D58A52}" userId="S::DReynolds@dhhs.nv.gov::71fb4433-e026-45ae-8a85-153e3017248a" providerId="AD"/>
  <person displayName="Kelsey McCann-Navarro" id="{49EC1986-8AF6-45BD-98A2-03DE5DAE410C}" userId="S::Kelsey.Navarro@dcfs.nv.gov::9db73c34-4149-45d8-80bd-fce2115dd0fc"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na Callister" refreshedDate="45930.33065520833" createdVersion="8" refreshedVersion="8" minRefreshableVersion="3" recordCount="136" xr:uid="{4AC871FA-9794-4B41-AA5C-24E24B17BA18}">
  <cacheSource type="worksheet">
    <worksheetSource ref="A2:AN138" sheet="Agency Projects"/>
  </cacheSource>
  <cacheFields count="40">
    <cacheField name="Agency" numFmtId="0">
      <sharedItems containsMixedTypes="1" containsNumber="1" containsInteger="1" minValue="400" maxValue="409" count="7">
        <n v="400"/>
        <n v="402"/>
        <n v="406"/>
        <n v="407"/>
        <n v="409"/>
        <s v="  "/>
        <n v="403" u="1"/>
      </sharedItems>
    </cacheField>
    <cacheField name="Project #" numFmtId="0">
      <sharedItems/>
    </cacheField>
    <cacheField name=" " numFmtId="0">
      <sharedItems longText="1"/>
    </cacheField>
    <cacheField name="Budget Account" numFmtId="0">
      <sharedItems containsMixedTypes="1" containsNumber="1" containsInteger="1" minValue="1383" maxValue="4895"/>
    </cacheField>
    <cacheField name="Project Start Date" numFmtId="14">
      <sharedItems containsSemiMixedTypes="0" containsNonDate="0" containsDate="1" containsString="0" minDate="2021-12-09T00:00:00" maxDate="2025-07-02T00:00:00"/>
    </cacheField>
    <cacheField name="Project End Date" numFmtId="14">
      <sharedItems containsSemiMixedTypes="0" containsNonDate="0" containsDate="1" containsString="0" minDate="2022-06-30T00:00:00" maxDate="2027-03-01T00:00:00"/>
    </cacheField>
    <cacheField name="# of Days in Project Period" numFmtId="1">
      <sharedItems containsSemiMixedTypes="0" containsString="0" containsNumber="1" containsInteger="1" minValue="9" maxValue="1728"/>
    </cacheField>
    <cacheField name="% of Project Period Passed" numFmtId="9">
      <sharedItems containsSemiMixedTypes="0" containsString="0" containsNumber="1" minValue="0.14285714285714285" maxValue="1.6752827140549273"/>
    </cacheField>
    <cacheField name="Original NOA Amount" numFmtId="0">
      <sharedItems containsSemiMixedTypes="0" containsString="0" containsNumber="1" minValue="0" maxValue="55378801"/>
    </cacheField>
    <cacheField name="Change Requests" numFmtId="0">
      <sharedItems containsString="0" containsBlank="1" containsNumber="1" minValue="-54378801" maxValue="31200648"/>
    </cacheField>
    <cacheField name="GFO/LCB Adjustments" numFmtId="0">
      <sharedItems containsString="0" containsBlank="1" containsNumber="1" minValue="-9390199" maxValue="1718114.7"/>
    </cacheField>
    <cacheField name="Total NOA + Change Requests + Adjustments" numFmtId="44">
      <sharedItems containsSemiMixedTypes="0" containsString="0" containsNumber="1" minValue="0" maxValue="50000000"/>
    </cacheField>
    <cacheField name="Most Recent NOA Amount " numFmtId="0">
      <sharedItems containsString="0" containsBlank="1" containsNumber="1" minValue="0" maxValue="55378801"/>
    </cacheField>
    <cacheField name="Difference of Column L + M" numFmtId="44">
      <sharedItems containsMixedTypes="1" containsNumber="1" minValue="-54378801" maxValue="1717766.6999999993"/>
    </cacheField>
    <cacheField name="Original Budgeted Amount" numFmtId="44">
      <sharedItems containsSemiMixedTypes="0" containsString="0" containsNumber="1" minValue="3816" maxValue="50000000"/>
    </cacheField>
    <cacheField name="Initial Approved Work Program #" numFmtId="0">
      <sharedItems/>
    </cacheField>
    <cacheField name="Description of Project (Limited to 1500 characters)" numFmtId="0">
      <sharedItems longText="1"/>
    </cacheField>
    <cacheField name="Brief description of structure and objectives of assistance program(s), including public health or negative economic impact experienced (Limited to 250 characters)" numFmtId="0">
      <sharedItems containsBlank="1" longText="1"/>
    </cacheField>
    <cacheField name="Brief description of approach to ensuring the response is reasonable and proportional to a public health or negative economic impact of COVID-19. (limited to 250 characters)" numFmtId="0">
      <sharedItems containsBlank="1" longText="1"/>
    </cacheField>
    <cacheField name="Narrative - Update on Project Status" numFmtId="0">
      <sharedItems longText="1"/>
    </cacheField>
    <cacheField name="Completion Status" numFmtId="0">
      <sharedItems count="7">
        <s v="Completed"/>
        <s v="Completed 50% or More"/>
        <s v="Completed less than 50%"/>
        <s v="Completed, pending final invoices"/>
        <s v="Completed less than 75%"/>
        <s v="Completed more than 50%"/>
        <s v="Not Started" u="1"/>
      </sharedItems>
    </cacheField>
    <cacheField name="Previous Obligations Reported" numFmtId="0">
      <sharedItems containsSemiMixedTypes="0" containsString="0" containsNumber="1" minValue="0" maxValue="50000000"/>
    </cacheField>
    <cacheField name="Additional Obligations between _x000a_May1 - May 31, 2025" numFmtId="44">
      <sharedItems containsString="0" containsBlank="1" containsNumber="1" minValue="-16310.660000000149" maxValue="996697"/>
    </cacheField>
    <cacheField name="Total Obligations_x000a_DO NOT HARDCODE" numFmtId="44">
      <sharedItems containsSemiMixedTypes="0" containsString="0" containsNumber="1" minValue="0" maxValue="50000000"/>
    </cacheField>
    <cacheField name="Previously Expended" numFmtId="0">
      <sharedItems containsSemiMixedTypes="0" containsString="0" containsNumber="1" minValue="0" maxValue="50000000"/>
    </cacheField>
    <cacheField name="Expended  _x000a_July 1 - August 30, 2025" numFmtId="0">
      <sharedItems containsString="0" containsBlank="1" containsNumber="1" minValue="0" maxValue="3841339.04"/>
    </cacheField>
    <cacheField name="Total Expended_x000a_DO NOT HARDCODE" numFmtId="44">
      <sharedItems containsSemiMixedTypes="0" containsString="0" containsNumber="1" minValue="0" maxValue="50000000"/>
    </cacheField>
    <cacheField name="% Expended" numFmtId="165">
      <sharedItems containsSemiMixedTypes="0" containsString="0" containsNumber="1" minValue="0" maxValue="1"/>
    </cacheField>
    <cacheField name="Approved_x000a_Adjustments (+/-)_x000a_(Work Programs + Budget Revisions)" numFmtId="0">
      <sharedItems containsString="0" containsBlank="1" containsNumber="1" minValue="-54378801" maxValue="404873"/>
    </cacheField>
    <cacheField name="Revised Approved Budget" numFmtId="44">
      <sharedItems containsSemiMixedTypes="0" containsString="0" containsNumber="1" minValue="0" maxValue="50000000"/>
    </cacheField>
    <cacheField name="Difference between most Recent NOA and Revised Approved Budget" numFmtId="44">
      <sharedItems containsString="0" containsBlank="1" containsNumber="1" minValue="-666000" maxValue="54888470.590000004"/>
    </cacheField>
    <cacheField name="Additional Potential Deobligation Amount" numFmtId="44">
      <sharedItems containsSemiMixedTypes="0" containsString="0" containsNumber="1" minValue="-5000000" maxValue="895929.56999999983"/>
    </cacheField>
    <cacheField name="Sustainability: One Time Funding, Medicaid, Other Funding Source, Budget Request" numFmtId="0">
      <sharedItems longText="1"/>
    </cacheField>
    <cacheField name="# of Households/Individuals Served/Tests/etc. " numFmtId="0">
      <sharedItems containsBlank="1" containsMixedTypes="1" containsNumber="1" containsInteger="1" minValue="0" maxValue="57579" longText="1"/>
    </cacheField>
    <cacheField name="Amount Allocated towards Evidence Based Interventions" numFmtId="0">
      <sharedItems containsBlank="1" containsMixedTypes="1" containsNumber="1" containsInteger="1" minValue="0" maxValue="20739792" longText="1"/>
    </cacheField>
    <cacheField name="Is this project related to a Capital Expenditure?" numFmtId="0">
      <sharedItems containsBlank="1" containsMixedTypes="1" containsNumber="1" containsInteger="1" minValue="0" maxValue="0"/>
    </cacheField>
    <cacheField name="Area Served: Urban (Clark/Washoe), Rural or Statewide" numFmtId="0">
      <sharedItems count="5">
        <s v="Statewide"/>
        <s v="Rural"/>
        <s v="Clark"/>
        <s v="Washoe"/>
        <s v="Urban (Clark/Washoe)"/>
      </sharedItems>
    </cacheField>
    <cacheField name="Topic Area: Behavioral Health (Adult or Children); Infrastructure; Public Health; Workforce; Other" numFmtId="0">
      <sharedItems count="6">
        <s v="Infrastructure"/>
        <s v="Public Health"/>
        <s v="Workforce"/>
        <s v="Social Services"/>
        <s v="Behavioral Health (Adult/Children)"/>
        <s v="Child Care"/>
      </sharedItems>
    </cacheField>
    <cacheField name="NOTES" numFmtId="0">
      <sharedItems containsBlank="1" longText="1"/>
    </cacheField>
    <cacheField name="Difference (Revised approved budget less spent)" numFmtId="44">
      <sharedItems containsSemiMixedTypes="0" containsString="0" containsNumber="1" minValue="-211828.00999999791" maxValue="24505575.0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x v="0"/>
    <s v="23DOCMP01"/>
    <s v="DHHS Director's Office Computers"/>
    <n v="3150"/>
    <d v="2022-10-20T00:00:00"/>
    <d v="2023-06-30T00:00:00"/>
    <n v="253"/>
    <n v="1"/>
    <n v="13449"/>
    <n v="0"/>
    <n v="0"/>
    <n v="13449"/>
    <n v="13449"/>
    <n v="0"/>
    <n v="13449"/>
    <s v="23FR315001"/>
    <s v="Purchase of 6 laptops to enable staff to telework when needed, due to public health emergencies."/>
    <s v="N/A"/>
    <s v="N/A"/>
    <s v="Equipment was purchased"/>
    <x v="0"/>
    <n v="13028.7"/>
    <m/>
    <n v="13028.7"/>
    <n v="13028.7"/>
    <m/>
    <n v="13028.7"/>
    <n v="0.96874860584430078"/>
    <n v="-420.3"/>
    <n v="13028.7"/>
    <n v="420.29999999999927"/>
    <n v="0"/>
    <s v="One Time Funding"/>
    <s v="N/A"/>
    <s v="N/A"/>
    <s v="No"/>
    <x v="0"/>
    <x v="0"/>
    <m/>
    <n v="0"/>
  </r>
  <r>
    <x v="0"/>
    <s v="22PRVSM01"/>
    <s v="Human Services Provider Summit"/>
    <n v="3195"/>
    <d v="2022-04-19T00:00:00"/>
    <d v="2022-06-30T00:00:00"/>
    <n v="72"/>
    <n v="1"/>
    <n v="16074"/>
    <n v="0"/>
    <n v="0"/>
    <n v="16074"/>
    <n v="16074"/>
    <n v="0"/>
    <n v="16074"/>
    <s v="22FRF31951"/>
    <s v="The event will help identify a short list of providers who are equipped to address our service gaps. It will also educate new providers on how to do business in the state and gain additional insight from the provider community on current barriers to expansion."/>
    <s v="N/A"/>
    <s v="N/A"/>
    <s v="Project complete. In collaboration with the Office of the Governor, DHHS hosted a Healthcare Provider Summit on April 19, 2022, in Las Vegas to restart conversations that were put on hold for the pandemic; discuss ideas and innovations; and collaborate to better support the health of all Nevadans."/>
    <x v="0"/>
    <n v="16073.49"/>
    <m/>
    <n v="16073.49"/>
    <n v="16073.49"/>
    <m/>
    <n v="16073.49"/>
    <n v="0.9999682717431877"/>
    <n v="-0.51"/>
    <n v="16073.49"/>
    <n v="0.51000000000021828"/>
    <n v="0"/>
    <s v="One Time Funding"/>
    <s v="N/A"/>
    <s v="N/A"/>
    <s v="No"/>
    <x v="0"/>
    <x v="0"/>
    <m/>
    <n v="0"/>
  </r>
  <r>
    <x v="0"/>
    <s v="23ARYRX01"/>
    <s v="ArrayRx"/>
    <n v="3195"/>
    <d v="2022-08-17T00:00:00"/>
    <d v="2024-12-31T00:00:00"/>
    <n v="867"/>
    <n v="1"/>
    <n v="250000"/>
    <n v="0"/>
    <n v="0"/>
    <n v="250000"/>
    <n v="250000"/>
    <n v="0"/>
    <n v="250000"/>
    <s v="23FRF31951"/>
    <s v="Communications campaign for the launch of the Array prescription card program."/>
    <s v="N/A"/>
    <s v="N/A"/>
    <s v="Project complete. All funding was used for the development and publishing of a statewide advertising campaign through January 2025 in English and Spanish to promote the ArrayRX prescription drug card."/>
    <x v="0"/>
    <n v="250000"/>
    <m/>
    <n v="250000"/>
    <n v="250000"/>
    <m/>
    <n v="250000"/>
    <n v="1"/>
    <m/>
    <n v="250000"/>
    <n v="0"/>
    <n v="0"/>
    <s v="One Time Funding"/>
    <s v="N/A"/>
    <s v="N/A"/>
    <s v="No"/>
    <x v="0"/>
    <x v="1"/>
    <m/>
    <n v="0"/>
  </r>
  <r>
    <x v="0"/>
    <s v="23DOCMP02"/>
    <s v="DHHS Director's Office Admin Svc and GMU"/>
    <n v="3195"/>
    <d v="2022-10-20T00:00:00"/>
    <d v="2023-06-30T00:00:00"/>
    <n v="253"/>
    <n v="1"/>
    <n v="6724"/>
    <n v="0"/>
    <n v="0"/>
    <n v="6724"/>
    <n v="6724"/>
    <n v="0"/>
    <n v="6724"/>
    <s v="23FR319502"/>
    <s v="Purchase 3 laptops for telework"/>
    <s v="N/A"/>
    <s v="N/A"/>
    <s v="Equipment was purchased"/>
    <x v="0"/>
    <n v="6195"/>
    <m/>
    <n v="6195"/>
    <n v="6195"/>
    <m/>
    <n v="6195"/>
    <n v="0.92132659131469363"/>
    <n v="-529"/>
    <n v="6195"/>
    <n v="529"/>
    <n v="0"/>
    <s v="One Time Funding"/>
    <s v="N/A"/>
    <s v="N/A"/>
    <s v="No"/>
    <x v="0"/>
    <x v="0"/>
    <m/>
    <n v="0"/>
  </r>
  <r>
    <x v="0"/>
    <s v="23NVTRI01"/>
    <s v="DHHS Director's Office - Nevada Transplant Institute"/>
    <n v="3195"/>
    <d v="2022-10-20T00:00:00"/>
    <d v="2026-06-30T00:00:00"/>
    <n v="1349"/>
    <n v="0.76871756856931062"/>
    <n v="15000000"/>
    <n v="0"/>
    <n v="0"/>
    <n v="15000000"/>
    <n v="15000000"/>
    <n v="0"/>
    <n v="15000000"/>
    <s v="23FR319503"/>
    <s v="This request will allow the division to subgrant funds to the Nevada Donor Network to support the Nevada Transplant Institute (NTI). This one-time funding will be used to support a cooperative approach to organ donation and transplantation to solve a great inequity and disparity in the Battle Born State. This request will fund the necessary infrastructure and campus ecosystem at the Nevada Donor Network in Las Vegas and in Reno to support the state-wide Nevada Transplant Institute (NTI). Funds will also be utilized to fund the cost of the initial 10 liver transplants prior to CMS certification, infrastructure enhancements at a Southern Nevada hospital to start a liver transplant center, and infrastructure enhancement to start a kidney transplant center at a Northern Nevada hospital."/>
    <s v="N/A"/>
    <s v="N/A"/>
    <s v="Renown Health is set to perform first kidney transplant in the next 30 days in partnership with NTI; Patients are being seen on a daily basis in Renown Health transplantation clinic facilitated by grant; NTI operational team has identified a viable space on the campus of Roseman University in Southern Nevada for a pre and post transplant patient clinic similar to Renown Health clinic in northern Nevada; NTI is awaiting feedback on lease draft  and to begin tenant improvements in southern Nevada to see and treat transplant patients; Physicians and Administrators hired by the NTI are in place for Renown program and southern Nevada clinic operations. _x000a_"/>
    <x v="1"/>
    <n v="15000000"/>
    <m/>
    <n v="15000000"/>
    <n v="9715811.7200000025"/>
    <m/>
    <n v="9715811.7200000025"/>
    <n v="0.64772078133333355"/>
    <m/>
    <n v="15000000"/>
    <n v="0"/>
    <n v="0"/>
    <s v="One Time Funding"/>
    <s v="N/A"/>
    <s v="N/A"/>
    <s v="Yes"/>
    <x v="0"/>
    <x v="0"/>
    <s v="SFY24 WP 24FRF31951 Submitted 4/22 to align authority with balance of NOA. "/>
    <n v="5284188.2799999975"/>
  </r>
  <r>
    <x v="1"/>
    <s v="23EIPRC01"/>
    <s v="DHHS Director's Office - Early Intervention Personnel Center"/>
    <n v="3276"/>
    <d v="2022-10-20T00:00:00"/>
    <d v="2026-06-30T00:00:00"/>
    <n v="1349"/>
    <n v="0.76871756856931062"/>
    <n v="368100"/>
    <n v="0"/>
    <n v="0"/>
    <n v="368100"/>
    <n v="368100"/>
    <n v="0"/>
    <n v="368100"/>
    <s v="23FR327601"/>
    <s v="This proposal requests ARPA funding for the Nevada Early Intervention System to develop a feasible solution as well as additional option to traditional academia in order to retain employees and assist them in meeting their professional requirements. An Early Intervention Personnel Center may facilitate a Developmental Specialist Core Series of professional development curriculum that will be no cost to El professional learners, and that will be comparably rigorous to current, traditional paths of 18 course credits to educator licensure, and that would meet federal requirements through IDEA Part C for highly qualified professionals, according to 34 CFR 303.119 Comprehensive System for Personnel Development."/>
    <s v="N/A"/>
    <s v="N/A"/>
    <s v="The PD Center’s first three cohorts — most completed recently on April 11, 2025 — had a total of 57 graduates. Contract PD Center director will continue with ARPA funds through June 2026, and thereafter funding for the position will be through annual formula grant funds. The Developmental Vision Specialist (DVS) series is in progress."/>
    <x v="1"/>
    <n v="254944.8"/>
    <m/>
    <n v="254944.8"/>
    <n v="207862.39"/>
    <n v="46818.01"/>
    <n v="254680.40000000002"/>
    <n v="0.69187829394186373"/>
    <m/>
    <n v="368100"/>
    <n v="0"/>
    <n v="113155.20000000001"/>
    <s v="One Time Funding"/>
    <s v="N/A"/>
    <s v="N/A"/>
    <s v="No"/>
    <x v="0"/>
    <x v="2"/>
    <s v="SFY24 WP 24FR327602 Submitted 4/25 to align authority with balance of NOA. "/>
    <n v="113419.59999999998"/>
  </r>
  <r>
    <x v="1"/>
    <s v="23CMSMI01"/>
    <s v="Data System Modernization and Integration"/>
    <n v="3151"/>
    <d v="2022-10-20T00:00:00"/>
    <d v="2026-12-31T00:00:00"/>
    <n v="1533"/>
    <n v="0.67645140247879976"/>
    <n v="7500000"/>
    <n v="0"/>
    <n v="0"/>
    <n v="7500000"/>
    <n v="7500000"/>
    <n v="0"/>
    <n v="7500000"/>
    <s v="23FRF31513"/>
    <s v="Funding is used to contract a vendor to design, develop, and implement ADSD's data system modernization, and contract two IT augmentation positions through the funding period."/>
    <s v="This project will benefit several public assistance programs and ensure timely access to services by Nevada's most vulnerable populations.  "/>
    <s v="Increase response and communication for accessing services.  "/>
    <s v="All funding obligated and expected to be fully expended by 12/31/26, across multiple contracts modernizing ADSD case management systems.  This includes integrating PowerDMS (policy portal) and CLio Legal Services (case management for advocacy attorney). Key milestones include setting up user logins, role assignments, and linking provider accounts as well as advancing several data migration activities.  We have also established a modernized web intake form for the Ombudsman program.  All efforts continue to progress as planned, ensuring enhanced system functionality and operational efficiency."/>
    <x v="1"/>
    <n v="7500000"/>
    <n v="0"/>
    <n v="7500000"/>
    <n v="4785904.87"/>
    <m/>
    <n v="4785904.87"/>
    <n v="0.63812064933333335"/>
    <n v="0"/>
    <n v="7500000"/>
    <n v="0"/>
    <n v="0"/>
    <s v="One Time Funding"/>
    <s v="N/A"/>
    <s v="No"/>
    <s v="No"/>
    <x v="0"/>
    <x v="0"/>
    <m/>
    <n v="2714095.13"/>
  </r>
  <r>
    <x v="1"/>
    <s v="23CONSV01"/>
    <s v="Agency Operation Improvements"/>
    <n v="3151"/>
    <d v="2022-10-20T00:00:00"/>
    <d v="2024-06-30T00:00:00"/>
    <n v="619"/>
    <n v="1.6752827140549273"/>
    <n v="1040000"/>
    <n v="0"/>
    <n v="0"/>
    <n v="1040000"/>
    <n v="1040000"/>
    <n v="0"/>
    <n v="1040000"/>
    <s v="23FRF31512"/>
    <s v="Two contracts to help ADSD improve processes and systems and implement complex federal regulations. Contract 1 provided business process redesign (BPR) to streamline intake and case management, create efficiency in workflows, centralize activities and remove duplication to improve access to care for clients within the Autism Treatment Assistance Program, Developmental Services and Office of Community Living. Contract 2 provided consulting, technical assistance, and program evaluation for Enhancing Home and Community-Based Services Regulations. This portion of the project evaluated ADSD's home and community-based waiver program compliance with federal regulations, made recommendations for program improvement in relation to those regulations, and provided staff with training needed to implement program improvement."/>
    <s v="To increase ADSD program efficiencies, as well as ensure compliance with federal home- and community-based waiver service regulations. "/>
    <s v="Ensure internal program processes are efficient to best serve individuals in need of ADSD services. Ensure home- and community-based waiver programs are in compliance with federal regulations to maintain federal funding and improve waiver service delivery."/>
    <s v="Contract 1 was completed on 06/2024 and with all objectives met. The $26,966.92 remaining in Contract 2 will be expended by 6/30/25.  _x000a_"/>
    <x v="1"/>
    <n v="1040000"/>
    <n v="0"/>
    <n v="1040000"/>
    <n v="1039999.67"/>
    <m/>
    <n v="1039999.67"/>
    <n v="0.99999968269230777"/>
    <n v="0"/>
    <n v="1040000"/>
    <n v="0"/>
    <n v="0"/>
    <s v="One Time Funding"/>
    <s v="N/A"/>
    <s v="No"/>
    <s v="No"/>
    <x v="0"/>
    <x v="0"/>
    <m/>
    <n v="0.32999999995809048"/>
  </r>
  <r>
    <x v="1"/>
    <s v="23TELEQ01"/>
    <s v="Telework Equipment"/>
    <n v="3151"/>
    <d v="2022-10-20T00:00:00"/>
    <d v="2023-06-30T00:00:00"/>
    <n v="253"/>
    <n v="1"/>
    <n v="240000"/>
    <n v="-20101.62"/>
    <m/>
    <n v="219898.38"/>
    <n v="219898.38"/>
    <n v="0"/>
    <n v="240000"/>
    <s v="23FRF31511"/>
    <s v="Funding was used to purchase IT equipment to support remote work to mitigate the risk of infection disease transmission to the most vulnerable populations."/>
    <s v="Increase efficiency and productivity for a hybrid work environment.  "/>
    <s v="Ensure team members are able to appropriately respond to public inquiries and continue vital services in a hybrid environment. "/>
    <s v="Project completed. Remaining funds were de-obligated."/>
    <x v="0"/>
    <n v="219898.38"/>
    <n v="0"/>
    <n v="219898.38"/>
    <n v="219898.38"/>
    <m/>
    <n v="219898.38"/>
    <n v="0.91624325000000006"/>
    <n v="-20101.62"/>
    <n v="219898.38"/>
    <n v="0"/>
    <n v="0"/>
    <s v="One Time Funding"/>
    <s v="N/A"/>
    <s v="No"/>
    <s v="No"/>
    <x v="0"/>
    <x v="0"/>
    <m/>
    <n v="0"/>
  </r>
  <r>
    <x v="1"/>
    <s v="22OCHA01"/>
    <s v="Office for Consumer Health Assistance"/>
    <n v="3204"/>
    <d v="2022-07-01T00:00:00"/>
    <d v="2023-06-30T00:00:00"/>
    <n v="364"/>
    <n v="1"/>
    <n v="173353"/>
    <n v="0"/>
    <n v="0"/>
    <n v="173353"/>
    <n v="173353"/>
    <n v="0"/>
    <n v="173353"/>
    <s v="22FRF32041"/>
    <s v="Funded a projected revenue shortfall related to a reduction in billable activities. The Office for Consumer Health Assistance, which includes the Bureau of Hospital Patients, a Workers Compensation Program, and the Office of Minority Health, provides a single point of contact for consumers statewide, including members of minority groups and injured workers regarding health care issues. The objective is to help understand their rights and responsibilities under various Nevada health care-related laws and health care plans, including industrial insurance policies. In addition, the office disseminates information through outreach activities including counseling, education and advocacy to increase awareness of and access to health care services."/>
    <s v="This project continued to pay costs incurred for delivering services to the community, which included outreach, counseling, education and advocacy to increase awareness of and access to health care services."/>
    <s v="Continuation of delivering health care services assistance."/>
    <s v="Project completed. All funds have been expended."/>
    <x v="0"/>
    <n v="173353"/>
    <n v="0"/>
    <n v="173353"/>
    <n v="173353"/>
    <n v="0"/>
    <n v="173353"/>
    <n v="1"/>
    <n v="0"/>
    <n v="173353"/>
    <n v="0"/>
    <n v="0"/>
    <s v="One Time Funding"/>
    <s v="N/A"/>
    <s v="N/A"/>
    <s v="No"/>
    <x v="0"/>
    <x v="3"/>
    <m/>
    <n v="0"/>
  </r>
  <r>
    <x v="1"/>
    <s v="23NEISA01"/>
    <s v="Nevada Early Intervention Services"/>
    <n v="3208"/>
    <d v="2022-10-20T00:00:00"/>
    <d v="2024-12-31T00:00:00"/>
    <n v="803"/>
    <n v="1"/>
    <n v="199200"/>
    <m/>
    <m/>
    <n v="199200"/>
    <n v="199200"/>
    <n v="0"/>
    <n v="199200"/>
    <s v="23FRF32082"/>
    <s v="In this project, the consulting firm, Health Management Associates (HMA) were contracted to conduct an analysis of the Nevada's Early Intervention System (NEIS) model and provide recommendations on the best proactive service delivery model. The contract with HMA for this project ended on 12/31/2023 and final copy of report provided to program on 6/7/2024."/>
    <s v="A provider rate study, completed in 2022 by HMA, helped ADSD and NEIS recognize how provider rates and system costs are substantially influenced by the systems design. With HMA's System study, we were able to evaluate the current structure of the NEIS system to support potential changes to policies, practices, and contracts.  We considered the impacts of system design on providers and State programs and how it affects program costs and provider sustainability."/>
    <s v="The experiences of the COVID-19 pandemic have shown how fragile the NEIS system is. The need for sustainability planning is critical to the system’s success. Ultimately, ensuring children and families are receiving timely and appropriate services to support the development of the children in the program. Equally important is to strengthen and sustain the system for the service providers who provide these critical services to children."/>
    <s v="Project completed. Remaining funds were de-obligated."/>
    <x v="0"/>
    <n v="166050"/>
    <n v="0"/>
    <n v="166050"/>
    <n v="166050"/>
    <n v="0"/>
    <n v="166050"/>
    <n v="0.83358433734939763"/>
    <n v="-33150"/>
    <n v="166050"/>
    <n v="33150"/>
    <n v="0"/>
    <s v="One Time Funding"/>
    <s v="N/A"/>
    <s v="No"/>
    <s v="No"/>
    <x v="0"/>
    <x v="0"/>
    <s v="Work Program 24FRF32082 to deobligate remaining funds has been approved, close out letter received."/>
    <n v="0"/>
  </r>
  <r>
    <x v="1"/>
    <s v="23NVEIS01"/>
    <s v="NEIS Telemedicine Mobile Carts"/>
    <n v="3208"/>
    <d v="2022-08-17T00:00:00"/>
    <d v="2023-08-16T00:00:00"/>
    <n v="364"/>
    <n v="1"/>
    <n v="5201"/>
    <m/>
    <m/>
    <n v="5201"/>
    <n v="5201"/>
    <n v="0"/>
    <n v="5201"/>
    <s v="23FRF32081"/>
    <s v="Telemedicine Mobile Carts have allowed providers to evaluate children remotely through telehealth services; especially autism diagnostic assessments to families in rural and frontier areas. "/>
    <s v="No further expenses for these one time costs. "/>
    <s v="This has allowed a group of experts to evaluate children when families are not able to be physically in the office. Having these units in all offices has supported statewide access to Early Intervention Services. Providing additional access to telehealth services also reduces potential exposure of children already at high risk of COVID-19 and who otherwise are medically fragile."/>
    <s v="Project completed."/>
    <x v="0"/>
    <n v="4276.04"/>
    <n v="0"/>
    <n v="4276.04"/>
    <n v="4276.04"/>
    <n v="0"/>
    <n v="4276.04"/>
    <n v="0.82215727744664491"/>
    <n v="-924.96"/>
    <n v="4276.04"/>
    <n v="924.96"/>
    <n v="0"/>
    <s v="One Time Funding"/>
    <s v="N/A"/>
    <s v="No"/>
    <s v="No"/>
    <x v="0"/>
    <x v="0"/>
    <s v="Technology"/>
    <n v="0"/>
  </r>
  <r>
    <x v="1"/>
    <s v="22CCSCR01"/>
    <s v="Carson City Senior Center"/>
    <n v="3266"/>
    <d v="2022-04-01T00:00:00"/>
    <d v="2023-03-31T00:00:00"/>
    <n v="364"/>
    <n v="1"/>
    <n v="25727.13"/>
    <n v="-17398.259999999998"/>
    <n v="0"/>
    <n v="8328.8700000000026"/>
    <n v="8328.8700000000008"/>
    <n v="0"/>
    <n v="25727.13"/>
    <s v="22FRF32661"/>
    <s v="Sub-award to Carson City Senior Center under Community Recovery Grant."/>
    <s v="Funding was used to contract meal services to continue congregate and home-delivered meals for clients eligible under the Older Americans Act while the Carson City Senior Center kitchen was temporarily closed."/>
    <s v="Addressed food insecurity for vulnerable populations. "/>
    <s v="Complete. Final payment 4/19/2023. Remaining funds de-obligated. "/>
    <x v="0"/>
    <n v="8328.8700000000008"/>
    <n v="0"/>
    <n v="8328.8700000000008"/>
    <n v="8328.8700000000008"/>
    <n v="0"/>
    <n v="8328.8700000000008"/>
    <n v="0.32373879247315968"/>
    <n v="-17398.259999999998"/>
    <n v="8328.8700000000026"/>
    <n v="0"/>
    <n v="0"/>
    <s v="One Time Funding"/>
    <n v="1708"/>
    <s v="No"/>
    <s v="No"/>
    <x v="1"/>
    <x v="3"/>
    <m/>
    <n v="0"/>
  </r>
  <r>
    <x v="1"/>
    <s v="22HHRHD01"/>
    <s v="Helping Hands Rural Home Delivered Meals"/>
    <n v="3266"/>
    <d v="2022-04-01T00:00:00"/>
    <d v="2023-03-31T00:00:00"/>
    <n v="364"/>
    <n v="1"/>
    <n v="626889.56999999995"/>
    <n v="0"/>
    <n v="0"/>
    <n v="626889.56999999995"/>
    <n v="626889.56999999995"/>
    <n v="0"/>
    <n v="626889.56999999995"/>
    <s v="22FRF32661"/>
    <s v="Sub-award to Helping Hands Rural Home Delivered Meals under the Community Recovery Grant."/>
    <s v="Increased number of households that received food or food assistance. "/>
    <s v="Served vulnerable and rural populations. Funding was subawarded to  community partners who provided food services in rural counties including:   Lincoln, Nye, Esmeralda, Carson City, Churchill, Lyon, and Mineral. "/>
    <s v="Project completed. Final payment 4/6/2023. All funds have been expended. "/>
    <x v="0"/>
    <n v="626889.56999999995"/>
    <n v="0"/>
    <n v="626889.56999999995"/>
    <n v="626889.56999999995"/>
    <n v="0"/>
    <n v="626889.56999999995"/>
    <n v="1"/>
    <n v="0"/>
    <n v="626889.56999999995"/>
    <n v="0"/>
    <n v="0"/>
    <s v="One Time Funding"/>
    <n v="3485"/>
    <s v="No"/>
    <s v="No"/>
    <x v="1"/>
    <x v="3"/>
    <m/>
    <n v="0"/>
  </r>
  <r>
    <x v="1"/>
    <s v="24VCRE01"/>
    <s v="ADSD Video Conference Equipment"/>
    <n v="3278"/>
    <d v="2024-04-01T00:00:00"/>
    <d v="2024-12-31T00:00:00"/>
    <n v="274"/>
    <n v="1"/>
    <n v="118560"/>
    <m/>
    <m/>
    <n v="118560"/>
    <n v="118560"/>
    <s v=" $                               -  "/>
    <n v="118560"/>
    <s v=" 24FRF32788 "/>
    <s v="Equipment and furniture for conference rooms across the Aging and Disability Services Division (ADSD)."/>
    <s v="This new project will enable ADSD to upgrade existing technology in its conference rooms to support community engagement, training and planning efforts."/>
    <s v="New technology in ADSD conference rooms will allow the division to increase community engagement through both in-person and virtual meeting options that are easy for individuals to access. "/>
    <s v="Complete. Final expenditures paid 7/2/2025."/>
    <x v="0"/>
    <n v="118503.67999999999"/>
    <m/>
    <n v="118503.67999999999"/>
    <n v="118503.68000000001"/>
    <m/>
    <n v="118503.68000000001"/>
    <n v="0.99952496626180842"/>
    <n v="0"/>
    <n v="118560"/>
    <n v="0"/>
    <n v="56.320000000006985"/>
    <s v=" One Time Funding "/>
    <s v="N/A"/>
    <s v="No"/>
    <s v="No"/>
    <x v="0"/>
    <x v="0"/>
    <m/>
    <n v="56.319999999992433"/>
  </r>
  <r>
    <x v="1"/>
    <s v="23DRCFL01"/>
    <s v="Desert Regional Center, Intermediate Care Facility Flooring"/>
    <n v="3279"/>
    <d v="2022-08-18T00:00:00"/>
    <d v="2024-06-30T00:00:00"/>
    <n v="682"/>
    <n v="1"/>
    <n v="87690"/>
    <n v="0"/>
    <n v="0"/>
    <n v="87690"/>
    <n v="87690"/>
    <n v="0"/>
    <n v="87690"/>
    <s v="23FRF32791"/>
    <s v="This funding was used to purchase and install new high-quality, high-traffic flooring at Desert Regional Center, an intermediate care facility (ICF) operated by ADSD."/>
    <s v="Flooring was showing signs of wear and tear and was difficult to maintain.  Installation of new flooring provides consistency across all homes at the facility and streamline cleaning procedures."/>
    <s v="Purchase and installation of new high-quality and high-traffic flooring to streamline and improve cleaning procedures, and to promote cleanliness and positive health outcomes."/>
    <s v="Project completed 6/30/2024.  "/>
    <x v="0"/>
    <n v="79914.94"/>
    <m/>
    <n v="79914.94"/>
    <n v="79914.94"/>
    <m/>
    <n v="79914.94"/>
    <n v="0.91133470179039799"/>
    <n v="0"/>
    <n v="87690"/>
    <n v="0"/>
    <n v="7775.0599999999977"/>
    <s v="One Time Funding"/>
    <n v="12"/>
    <s v="No"/>
    <s v="No"/>
    <x v="2"/>
    <x v="0"/>
    <m/>
    <n v="7775.0599999999977"/>
  </r>
  <r>
    <x v="1"/>
    <s v="23GTGAC01"/>
    <s v="Ackerman Center"/>
    <n v="3279"/>
    <d v="2022-08-18T00:00:00"/>
    <d v="2025-03-31T00:00:00"/>
    <n v="956"/>
    <n v="1"/>
    <n v="8527243"/>
    <n v="0"/>
    <n v="0"/>
    <n v="8527243"/>
    <n v="8527243"/>
    <n v="0"/>
    <n v="8527243"/>
    <s v="23FRF32794"/>
    <s v="Funding was used to hire diagnostic and therapeutic providers to diagnose children with neurodevelopmental disorders. Funds were sub-awarded to the GGAF Ackerman Center, which is the only center in Southern Nevada that specializes in testing children with brain and development disorders as early as 12 to 14 months of age. The Ackerman Center's goal was to hire 100 clinicians to help kids quicker, reducing wait time from 9-18 months to 1-3 months, and diagnose more than 2,000 children annually."/>
    <s v="By hiring more providers to diagnose children, experienced staff at the Ackerman Center have more time to teach families and community workers. This helps more people understand developmental and intellectual disabilities. As the center grows and becomes more stable, GGAF can use more of its donations and grants to help families directly such as offering support programs, job training, and money for families who can’t afford important services."/>
    <s v="Expanding clinical staff resulted in a significant increase in the number of children in Southern Nevada being diagnosed, and therefore able to receive necessary therapies. Expanded staff also helped to reduce the long wait lists that caused families to leave the state in order to receive care more timely. "/>
    <s v="Project completed 02/05/2025. "/>
    <x v="0"/>
    <n v="8527243"/>
    <m/>
    <n v="8527243"/>
    <n v="8527243"/>
    <n v="0"/>
    <n v="8527243"/>
    <n v="1"/>
    <n v="0"/>
    <n v="8527243"/>
    <n v="0"/>
    <n v="0"/>
    <s v="One Time Funding"/>
    <n v="1079"/>
    <s v="No"/>
    <s v="No"/>
    <x v="2"/>
    <x v="4"/>
    <m/>
    <n v="0"/>
  </r>
  <r>
    <x v="1"/>
    <s v="23RFPCN01"/>
    <s v="Specialized Intensive Services of Developmental Services"/>
    <n v="3279"/>
    <d v="2022-10-20T00:00:00"/>
    <d v="2026-12-31T00:00:00"/>
    <n v="1533"/>
    <n v="0.67645140247879976"/>
    <n v="14520000"/>
    <n v="-2000000"/>
    <m/>
    <n v="12520000"/>
    <n v="14520000"/>
    <n v="-2000000"/>
    <n v="14520000"/>
    <s v="23FRF32795"/>
    <s v="To focus on capacity building, provision of direct services including pilot programs, and workforce development to improve services for individuals with intellectual/developmental disabilities and complex behavioral support needs. "/>
    <s v="Multiple vendors and projects are funded that will increase the availability and accessibility of various services for individuals with intellectual/developmental disabilities and complex behavioral support needs."/>
    <s v="Improving services to this complex population across the state will improve outcomes for those individuals and their families that are in need of crucial services to avoid institutionalization and/or out-of-state placement."/>
    <s v="Multiple projects are active with all work on schedule and vendors requesting funds as anticipated. Latest spend plan amendment was approved by GFO on 7/9/25. Capacity Building Institute (CBI) first cohort of 50 participants starts 7/31/25 with the goal of increasing knowledge and collaboration across various professionals working with individuals with intellectual/developmental disabilities (IDD) and intensive behavioral needs. Peer provider technical assistance is active to assist people with extensive behavioral needs remain living in the community. Selection is nearly complete for providers and staff who will undergo training and certification from the National Association for the Dually Diagnosed (NADD) to increase professional knowledge. Various training opportunities to expand leadership capacity, learn about national best practices, and develop needed skills to better serve people with IDD and intensive behavioral needs are occurring as planned. Extended respite programs for youth to ease family pressures are continuing throughout the summer. Funds will be expended by 12/31/26."/>
    <x v="2"/>
    <n v="1084866.1200000001"/>
    <n v="170025.06"/>
    <n v="1254891.1800000002"/>
    <n v="1516845.7400000002"/>
    <n v="62545.01"/>
    <n v="1579390.7500000002"/>
    <n v="0.10877346763085401"/>
    <n v="-2000000"/>
    <n v="12520000"/>
    <n v="2000000"/>
    <n v="0"/>
    <s v="One Time Funding"/>
    <n v="0"/>
    <s v="No"/>
    <s v="No"/>
    <x v="0"/>
    <x v="4"/>
    <m/>
    <n v="10940609.25"/>
  </r>
  <r>
    <x v="1"/>
    <s v="23SPINC01"/>
    <s v="Desert Regional Center, Intermediate Care Facility Speaker/Intercom Replacement"/>
    <n v="3279"/>
    <d v="2022-08-18T00:00:00"/>
    <d v="2023-06-30T00:00:00"/>
    <n v="316"/>
    <n v="1"/>
    <n v="10516"/>
    <m/>
    <m/>
    <n v="10516"/>
    <n v="10516"/>
    <n v="0"/>
    <n v="10516"/>
    <s v="23FRF32792"/>
    <s v="This project replaced the speaker/intercom system at Desert Regional Center, an intermediate care facility (ICF)."/>
    <s v="Replacement of the speaker/intercom system at Desert Willow will allow for increased ability to communicate across campus when additional assistance is needed to support residents of the ICF."/>
    <s v="Increased ability to communicate across campus when additional assistance is needed for an ICF resident will result in faster response time and quicker intervention when needed."/>
    <s v="Project completed 4/19/2023.  Funds fully expended."/>
    <x v="0"/>
    <n v="10516"/>
    <m/>
    <n v="10516"/>
    <n v="10516"/>
    <n v="0"/>
    <n v="10516"/>
    <n v="1"/>
    <n v="0"/>
    <n v="10516"/>
    <n v="0"/>
    <n v="0"/>
    <s v="One Time Funding"/>
    <n v="41"/>
    <s v="No"/>
    <n v="0"/>
    <x v="2"/>
    <x v="0"/>
    <m/>
    <n v="0"/>
  </r>
  <r>
    <x v="1"/>
    <s v="23TMCSY01"/>
    <s v="Desert Regional Center, Intermediate Care Facility Electric Time Clock Installation"/>
    <n v="3279"/>
    <d v="2022-08-18T00:00:00"/>
    <d v="2023-06-30T00:00:00"/>
    <n v="316"/>
    <n v="1"/>
    <n v="3816"/>
    <n v="0"/>
    <m/>
    <n v="3816"/>
    <n v="3816"/>
    <n v="0"/>
    <n v="3816"/>
    <s v="23FRF32793"/>
    <s v="Purchase and installation of an electric time clock system that allows employees to clock in and out for their shifts."/>
    <s v="N/A"/>
    <s v="N/A"/>
    <s v="Project completed 06/30/2023.  100% of funds were de-obligated."/>
    <x v="0"/>
    <n v="3816"/>
    <m/>
    <n v="3816"/>
    <n v="0"/>
    <m/>
    <n v="0"/>
    <n v="0"/>
    <m/>
    <n v="3816"/>
    <n v="0"/>
    <n v="0"/>
    <s v="One Time Funding"/>
    <s v="N/A"/>
    <s v="N/A"/>
    <s v="No"/>
    <x v="2"/>
    <x v="0"/>
    <m/>
    <n v="3816"/>
  </r>
  <r>
    <x v="1"/>
    <s v="22CHCMH01"/>
    <s v="CRG - Churchill Community Hospital Inc. "/>
    <s v="3266/78"/>
    <d v="2022-06-22T00:00:00"/>
    <d v="2024-06-30T00:00:00"/>
    <n v="739"/>
    <n v="1"/>
    <n v="10936"/>
    <n v="0"/>
    <n v="0"/>
    <n v="10936"/>
    <n v="10936"/>
    <n v="0"/>
    <n v="10936"/>
    <s v="22FRF32662"/>
    <s v="Churchill Community Hospital Inc. project gave money directly to patients with financial or social challenges and no other county assistance right after leaving Banner Churchill Community Hospital. A licensed social worker helped identify patients who needed support. The project mainly helped patients get to their health care appointments by giving them money for transportation."/>
    <s v="Support was provided to patients in need after leaving the hospital, so they could obtain transportation to their follow-up doctor visits."/>
    <s v="Funding is provided only to low or moderate income households or individuals."/>
    <s v="Project complete. Final payment 7/11/2024. All funds have been expended. "/>
    <x v="0"/>
    <n v="10936"/>
    <m/>
    <n v="10936"/>
    <n v="10936"/>
    <n v="0"/>
    <n v="10936"/>
    <n v="1"/>
    <n v="0"/>
    <n v="10936"/>
    <n v="0"/>
    <n v="0"/>
    <s v="One Time Funding"/>
    <n v="120"/>
    <s v="No"/>
    <s v="No"/>
    <x v="1"/>
    <x v="3"/>
    <m/>
    <n v="0"/>
  </r>
  <r>
    <x v="1"/>
    <s v="23FCWPL01"/>
    <s v="Personal Care Workforce Impact"/>
    <s v="3266/78"/>
    <d v="2022-10-20T00:00:00"/>
    <d v="2026-12-31T00:00:00"/>
    <n v="1533"/>
    <n v="0.67645140247879976"/>
    <n v="5000000"/>
    <n v="-2000000"/>
    <m/>
    <n v="3000000"/>
    <n v="5000000"/>
    <n v="-2000000"/>
    <n v="5000000"/>
    <s v="23FRF32669"/>
    <s v="To establish a Caregiving Training Institute utilizing a consensus curriculum to train professional caregivers."/>
    <s v="The COVID-19 pandemic has exacerbated the personal care workforce shortage. This project aims to build a consensus-based training curriculum, while also supporting workforce development through outreach and incentives for recruitment and retention.  "/>
    <s v="This project is critical to Olmstead compliance to help people with disabilities stay out of institutional settings.  The availability of personal care professionals is critical to providing home- and community-based services.  "/>
    <s v="Contract to develop caregiver training is in progress.  Initial delays were due to limited staff resources to support the project but, the project is now on target. Contractor is working closely with HCQC to determine impact of AB519 on training curriculum.  A second contract for the outreach component will begin in the 2nd quarter of SFY2026. "/>
    <x v="2"/>
    <n v="3000000"/>
    <n v="0"/>
    <n v="3000000"/>
    <n v="293514.14"/>
    <n v="124875.45999999999"/>
    <n v="418389.6"/>
    <n v="8.3677919999999989E-2"/>
    <n v="-2000000"/>
    <n v="3000000"/>
    <n v="2000000"/>
    <n v="0"/>
    <s v="One Time Funding"/>
    <s v="N/A"/>
    <s v="No"/>
    <s v="No"/>
    <x v="0"/>
    <x v="2"/>
    <m/>
    <n v="2581610.4"/>
  </r>
  <r>
    <x v="1"/>
    <s v="23HBSMS01"/>
    <s v="Home-Delivered Meals for Older Adults"/>
    <s v="3266/78"/>
    <d v="2022-10-20T00:00:00"/>
    <d v="2025-06-30T00:00:00"/>
    <n v="984"/>
    <n v="1"/>
    <n v="2909528"/>
    <n v="-400000"/>
    <m/>
    <n v="2509528"/>
    <n v="2909528"/>
    <n v="-400000"/>
    <n v="2909528"/>
    <s v="23FRF32663"/>
    <s v="Sub-award to existing community partners to increase program capacity by providing home-delivered meals and necessary equipment"/>
    <s v="Funding is subawarded to 11 existing subrecipients who provide home delivered meal services to help build capacity and to reduce waitlists of older adults in need of home delivered meals. "/>
    <s v="Supports independent living for older adults through nutritious meals."/>
    <s v="Project completed 6/30/2025. "/>
    <x v="0"/>
    <n v="2509527.75"/>
    <n v="-16310.660000000149"/>
    <n v="2493217.09"/>
    <n v="2408563.3699999992"/>
    <n v="84653.72"/>
    <n v="2493217.0899999994"/>
    <n v="0.85691462326535417"/>
    <n v="-400000"/>
    <n v="2509528"/>
    <n v="400000"/>
    <n v="16310.910000000149"/>
    <s v="One Time Funding"/>
    <n v="6440"/>
    <s v="No"/>
    <s v="No"/>
    <x v="0"/>
    <x v="3"/>
    <s v="Waitlist"/>
    <n v="16310.910000000615"/>
  </r>
  <r>
    <x v="1"/>
    <s v="23HCAPD01"/>
    <s v="Home/Chore Assistance for people with Disabilities"/>
    <s v="3266/78"/>
    <d v="2022-10-20T00:00:00"/>
    <d v="2025-12-31T00:00:00"/>
    <n v="1168"/>
    <n v="0.88784246575342463"/>
    <n v="1559280"/>
    <n v="-59280"/>
    <n v="0"/>
    <n v="1500000"/>
    <n v="1559280"/>
    <n v="-59280"/>
    <n v="1559280"/>
    <s v="23FRF32665"/>
    <s v="This project addresses existing waitlists for home and chore assistance services to older adults and people with disabilities. This project has also allowed the implementation of new service delivery models to expand capacity for this service.  The homemaker and chore assistance program offers critical services to people to help them remain healthy and safe in their homes. It is also one of the lowest return on investment services to support people in their homes."/>
    <s v="As a result of the pandemic and other economic factors,  service costs continue to increase, making it difficult to recruit personnel. This project helps connect individuals on the waitlist with services as well as provides funding to subrecipients for  implementation of innovative service delivery models.  "/>
    <s v="Reduce growing waitlist for services. "/>
    <s v="All funding is expected to be expended. Several projects (seven) under this funding ended 6/30/2025. _x000a_This funding is used for subawards to community partners to help expand capacity, address waitlists, and to support a self-directed service delivery model for Nevada's vulnerable population in need of home and chore assistance services. A contract was finalized with a financial management service to support the self-direct service delivery model.  _x000a_"/>
    <x v="1"/>
    <n v="1500000"/>
    <n v="-2813.02"/>
    <n v="1497186.98"/>
    <n v="985496.97000000009"/>
    <n v="124050.2"/>
    <n v="1109547.1700000002"/>
    <n v="0.71157660586937566"/>
    <n v="-59280"/>
    <n v="1500000"/>
    <n v="59280"/>
    <n v="2813.0200000000186"/>
    <s v="One Time Funding"/>
    <n v="1461"/>
    <s v="No"/>
    <s v="No"/>
    <x v="0"/>
    <x v="0"/>
    <s v="Waitlist"/>
    <n v="390452.82999999984"/>
  </r>
  <r>
    <x v="1"/>
    <s v="23INHSV01"/>
    <s v="Assistive Technology for Independent Living (AT/IL) Program and Home Safety, Modification, Repair Services and Bed Bug Remediation"/>
    <s v="3266/78"/>
    <d v="2022-10-20T00:00:00"/>
    <d v="2026-12-31T00:00:00"/>
    <n v="1533"/>
    <n v="0.67645140247879976"/>
    <n v="2090000"/>
    <n v="-59280"/>
    <m/>
    <n v="2030720"/>
    <n v="2090000"/>
    <n v="-59280"/>
    <n v="2090000"/>
    <s v="23FRF32661"/>
    <s v="To reduce the waitlists for the AT/IL, Home Safety Modification and Repair Services, and Bed Bug Remediation programs."/>
    <s v="Will support individual's ability to remain safe, and independent in their own homes. Whether it’s providing adaptive technology to enhance daily life, modifying homes to improve safety and accessibility, repairing critical household infrastructure, or eradicating bed bug infestations, these programs aid in improving quality of life. This funding is used to help address wait times and wait lists to of individuals seeking to live comfortably, independently, and with dignity in their own homes."/>
    <s v="Prioritize those currently on waitlists."/>
    <s v="All funding is expected to be expended. _x000a_Funding was obligated to subrecipients to address waitlists for the AT/IL Program, the Home Safety, Modification, and Repair Program, and for the Bed Bug Remediation Pilot program. All programs support individuals to live safely and independently in their own homes. Out of seven funded projects, five have completed. "/>
    <x v="1"/>
    <n v="2030668.26"/>
    <n v="0"/>
    <n v="2030668.26"/>
    <n v="1898936"/>
    <n v="44590.34"/>
    <n v="1943526.34"/>
    <n v="0.92991690909090918"/>
    <n v="-59280"/>
    <n v="2030720"/>
    <n v="59280"/>
    <n v="51.739999999990687"/>
    <s v="One Time Funding"/>
    <n v="931"/>
    <s v="No"/>
    <s v="No"/>
    <x v="0"/>
    <x v="3"/>
    <s v="Waitlist"/>
    <n v="87193.659999999916"/>
  </r>
  <r>
    <x v="1"/>
    <s v="23MCSVC01"/>
    <s v="Enhancing Health Literacy for Nevada's Underserved Populations"/>
    <s v="3266/78"/>
    <d v="2022-10-20T00:00:00"/>
    <d v="2025-06-30T00:00:00"/>
    <n v="984"/>
    <n v="1"/>
    <n v="470000"/>
    <n v="0"/>
    <m/>
    <n v="470000"/>
    <n v="470000"/>
    <n v="0"/>
    <n v="470000"/>
    <s v="23FRF32664"/>
    <s v="Contract a vendor to redesign/enhance ADSD's website and conduct a marketing and outreach campaign."/>
    <s v="ADSD mobilized the Nevada CAN network  to ensure older adults and people with disabilities were connected to critical services at the beginning of the pandemic.  This effort, along with Olmstead Planning feedback highlighted the importance of ADSD enhancing  their existing website and messaging to help the general population more easily recognize the services we have to offer and ensure people are connecting to services that are critical social determinants of health.  "/>
    <s v="ADSD is starting with a re-branding to simplify messaging for Nevadans and is also investing in a re-designed website that uses modern interfacing and organizational structure to highlight programs and services;  this project will also result in revised program materials and an outreach campaign aimed at promoting ADSD throughout Nevada.  "/>
    <s v="Project complete. Final expenditures paid 7/22/2025."/>
    <x v="0"/>
    <n v="470000"/>
    <m/>
    <n v="470000"/>
    <n v="441327.37"/>
    <n v="28495.63"/>
    <n v="469823"/>
    <n v="0.99962340425531915"/>
    <n v="0"/>
    <n v="470000"/>
    <n v="0"/>
    <n v="0"/>
    <s v="One Time Funding/Budget Request"/>
    <s v="N/A"/>
    <s v="No"/>
    <s v="No"/>
    <x v="0"/>
    <x v="0"/>
    <m/>
    <n v="177"/>
  </r>
  <r>
    <x v="1"/>
    <s v="23RESSV01"/>
    <s v="Mobile Respite Program"/>
    <s v="3266/78"/>
    <d v="2022-10-20T00:00:00"/>
    <d v="2024-12-31T00:00:00"/>
    <n v="803"/>
    <n v="1"/>
    <n v="1788960"/>
    <n v="-1788960"/>
    <m/>
    <n v="0"/>
    <m/>
    <n v="0"/>
    <n v="1788960"/>
    <s v="23FRF32668"/>
    <s v="Funding was to be used for the creation and implementation of a pilot mobile respite program and contract staffing for administration tasks."/>
    <s v="The Mobile Respite was targeted to rural communities where there is historically few respite options.  Caregivers were disproportionately impacted as a result of COVID-19 quarantines.  Impacts physical and mental well-being."/>
    <s v="Project plans were to publish a competitive Notice of Funding Opportunity to support the initial investment for one or more mobile respite programs. Remaining funding was to be used to support waitlist with existing subrecipients providing respite."/>
    <s v="Project not implemented. Funding de-obligated and returned to GFO. "/>
    <x v="0"/>
    <n v="0"/>
    <m/>
    <n v="0"/>
    <n v="0"/>
    <n v="0"/>
    <n v="0"/>
    <n v="0"/>
    <n v="-1788960"/>
    <n v="0"/>
    <n v="0"/>
    <n v="0"/>
    <s v="N/A"/>
    <s v="N/A"/>
    <s v="N/A"/>
    <s v="No"/>
    <x v="1"/>
    <x v="3"/>
    <m/>
    <n v="0"/>
  </r>
  <r>
    <x v="1"/>
    <s v="23RSBEX01"/>
    <s v="Community Based Care Capacity Building"/>
    <s v="3266/78"/>
    <d v="2022-10-20T00:00:00"/>
    <d v="2025-12-31T00:00:00"/>
    <n v="1168"/>
    <n v="0.88784246575342463"/>
    <n v="4000000"/>
    <n v="0"/>
    <m/>
    <n v="4000000"/>
    <n v="4000000"/>
    <n v="0"/>
    <n v="4000000"/>
    <s v="23FR326610"/>
    <s v="Sub-grant to community partners for construction, equipment, licensure, or other modifications needed to increase the number of available facility beds."/>
    <s v="Will increase residential facility bed availability. "/>
    <s v="Safe, stable living spaces for most vulnerable populations."/>
    <s v="All funding is expected to be expended. _x000a_Two construction projects were completed in March 2025. Three additional projects will be completed by 9/30/2025. Remaining construction projects are expected to be completed by 12/31/2025."/>
    <x v="1"/>
    <n v="4000000"/>
    <n v="-2.36"/>
    <n v="3999997.64"/>
    <n v="3213907.62"/>
    <n v="158037.16999999998"/>
    <n v="3371944.79"/>
    <n v="0.84298619750000003"/>
    <n v="0"/>
    <n v="4000000"/>
    <n v="0"/>
    <n v="2.3599999998696148"/>
    <s v="One Time Funding"/>
    <s v="N/A"/>
    <s v="No"/>
    <s v="No"/>
    <x v="0"/>
    <x v="0"/>
    <m/>
    <n v="628055.21"/>
  </r>
  <r>
    <x v="1"/>
    <s v="23SVNEX01"/>
    <s v="Service Navigation Expansion"/>
    <s v="3266/78"/>
    <d v="2022-10-20T00:00:00"/>
    <d v="2026-12-31T00:00:00"/>
    <n v="1533"/>
    <n v="0.67645140247879976"/>
    <n v="1646881"/>
    <n v="-500000"/>
    <m/>
    <n v="1146881"/>
    <n v="1646881"/>
    <n v="-500000"/>
    <n v="1646881"/>
    <s v="23FRF32666"/>
    <s v="The goal of this project is to create an entry level pipeline for the health care workforce and address access to care for Nevada's most vulnerable population. The ARPA funding will be used to create a focused training on long-term service navigation and offer certification  as entry level navigators for long-term services and supports. These positions are critical to enhance the state's No Wrong Door efforts, educating individuals and families on programs and services, coordinating services across various programs, expanding access to various services, including Medicare counseling and Office for Consumer Health Assistance services. This funding will support the development of curriculum, grant-funded direct service providers, and administrative costs with a project start date of January 2023 and anticipated to be an ongoing service sustainable through Medicaid claiming, grant funds, and state general funds to the extent available."/>
    <s v="This project will help individuals navigate the long-term services and supports system and will increase the skills and knowledge of resource and service navigator professionals.  "/>
    <s v="Increase capacity to provide assistance to inquiries and ensure all populations are served through a trained, professional workforce.  "/>
    <s v="All funds have been obligated. Subrecipients are incurring expenditures for capacity building.  Training and outreach projects will begin in Fall 2025. Spending is expected to be completed by 12/31/26 for all projects. "/>
    <x v="2"/>
    <n v="1146246.3500000001"/>
    <n v="0"/>
    <n v="1146246.3500000001"/>
    <n v="660723.37999999989"/>
    <n v="56547.799999999996"/>
    <n v="717271.17999999993"/>
    <n v="0.43553309559099895"/>
    <n v="-500000"/>
    <n v="1146881"/>
    <n v="500000"/>
    <n v="634.64999999990687"/>
    <s v="One Time Funding"/>
    <s v="N/A"/>
    <s v="No"/>
    <s v="No"/>
    <x v="0"/>
    <x v="2"/>
    <m/>
    <n v="429609.82000000007"/>
  </r>
  <r>
    <x v="1"/>
    <s v="23TELTR01"/>
    <s v="Geriatric and Telehealth Workforce Training"/>
    <s v="3266/78"/>
    <d v="2023-07-01T00:00:00"/>
    <d v="2025-06-30T00:00:00"/>
    <n v="730"/>
    <n v="1"/>
    <n v="843813"/>
    <n v="0"/>
    <m/>
    <n v="843813"/>
    <n v="843813"/>
    <n v="0"/>
    <n v="843813"/>
    <s v="23FRF32667"/>
    <s v="Funds for this project will be sub-awarded to existing community partners to increase telehealth services by expanding training to providers."/>
    <s v="Increases the accessibility of primary care services for more patients, especially older adults and persons with disabilities, as well as their family caregivers. Provides research data. "/>
    <s v="Service to priority populations to support accessibility of primary care services in all areas."/>
    <s v="Project completed as of 6/30/2025._x000a_ This project has increased accessibility of telehealth services to older adults and persons with a disability by expanding training to providers."/>
    <x v="0"/>
    <n v="843813"/>
    <m/>
    <n v="843813"/>
    <n v="843813"/>
    <n v="0"/>
    <n v="843813"/>
    <n v="1"/>
    <n v="0"/>
    <n v="843813"/>
    <n v="0"/>
    <n v="0"/>
    <s v="One Time Funding"/>
    <n v="2547"/>
    <s v="No"/>
    <s v="No"/>
    <x v="0"/>
    <x v="2"/>
    <s v=" "/>
    <n v="0"/>
  </r>
  <r>
    <x v="2"/>
    <s v="23RCCLV01"/>
    <s v="RECUPERATIVE CARE CENTER EXPANSION"/>
    <n v="3161"/>
    <d v="2022-10-20T00:00:00"/>
    <d v="2026-09-30T00:00:00"/>
    <n v="1441"/>
    <n v="0.71963913948646774"/>
    <n v="10000000"/>
    <n v="0"/>
    <m/>
    <n v="10000000"/>
    <n v="10000000"/>
    <n v="0"/>
    <n v="10000000"/>
    <s v="23FRF31616"/>
    <s v="A collaborative effort with City of Las Vegas to fund a Recuperative Care Center Expansion for homeless population to recover from medical injury or illness following a discharge from a Hospital."/>
    <s v="An 50 bed facility Expansion to provide medical respite within City of Las Vegas limits, assisting  with wound care, cardiac issues, oxygen, cancer, hospice services, pre and prost-surgical procedures, diabetes and more."/>
    <s v="The Recuperative Care Center launch in August 2020 filled a major gap in addressing the health care of people experiencing  homelessness exacerbated by the COVID-19 Pandemic."/>
    <s v="Project is ongoing and has incurred $1,648,607.93 in expenditures as of September 16, 2025.  Expected to fully spend down by end of project period."/>
    <x v="2"/>
    <n v="10000000"/>
    <m/>
    <n v="10000000"/>
    <n v="1224262.48"/>
    <n v="424345.45"/>
    <n v="1648607.93"/>
    <n v="0.16486079300000001"/>
    <n v="0"/>
    <n v="10000000"/>
    <n v="0"/>
    <n v="0"/>
    <s v="One Time Funding"/>
    <m/>
    <s v="N/A"/>
    <s v="Yes"/>
    <x v="2"/>
    <x v="0"/>
    <m/>
    <n v="8351392.0700000003"/>
  </r>
  <r>
    <x v="2"/>
    <s v="24FRB3A01"/>
    <s v="Building 3A Forensic Renovation"/>
    <n v="3161"/>
    <d v="2023-12-13T00:00:00"/>
    <d v="2025-12-31T00:00:00"/>
    <n v="749"/>
    <n v="0.82510013351134848"/>
    <n v="22629572"/>
    <n v="-22629572"/>
    <m/>
    <n v="0"/>
    <n v="9289126"/>
    <n v="-9289126"/>
    <n v="9289126"/>
    <s v="24FRF31615/_x000a_24FR31617/_x000a_25FRF31615"/>
    <s v="To complete the renovation of Building 3A to permit increased bed capacity by 21 beds"/>
    <s v="This project provides funding to update the existing building for forensic program use."/>
    <s v="N/A"/>
    <s v="Project completed on 05/28/25, allowing final inspections by Sate Public Works, State Fire Marshall and HCQC Team during the month of June. Building was ready for a 07/01/25 opening."/>
    <x v="1"/>
    <n v="9289126"/>
    <m/>
    <n v="9289126"/>
    <n v="8756947.4200000018"/>
    <n v="306560.65000000002"/>
    <n v="9063508.0700000022"/>
    <n v="0.9757116083902837"/>
    <m/>
    <n v="9289126"/>
    <n v="0"/>
    <n v="0"/>
    <s v="Budget Request"/>
    <n v="21"/>
    <s v="N/A"/>
    <s v="Yes"/>
    <x v="2"/>
    <x v="0"/>
    <m/>
    <n v="225617.92999999784"/>
  </r>
  <r>
    <x v="2"/>
    <s v="24JBMHP01"/>
    <s v="Jail Based Mental Health Programs (SNAMHS/NNAMHS)"/>
    <n v="3161"/>
    <d v="2023-12-13T00:00:00"/>
    <d v="2026-12-31T00:00:00"/>
    <n v="1114"/>
    <n v="0.55475763016157986"/>
    <n v="14905281"/>
    <n v="0"/>
    <n v="0"/>
    <n v="14905281"/>
    <n v="14905281"/>
    <n v="0"/>
    <n v="14905281"/>
    <s v="24FRF31611"/>
    <s v="Establish a jail based mental health program for 30 individuals in the Washoe County jail. Establish a jail based mental health program  for 60 individuals in the Clark County detention center. "/>
    <s v="This  funding will allow individuals awaiting inpatient restoration services to receive mental health services in the respective jail that will begin the treatment process."/>
    <s v="N/A"/>
    <s v="Sub-awards have been executed and awarded to CCDC and Washoe County Jail. Program in full operating for Washoe and Clark Counties. Program received an $2,939,148"/>
    <x v="1"/>
    <n v="14905281"/>
    <m/>
    <n v="14905281"/>
    <n v="7646922.7899999991"/>
    <n v="1015056.85"/>
    <n v="8661979.6399999987"/>
    <n v="0.58113494405103794"/>
    <n v="0"/>
    <n v="14905281"/>
    <n v="0"/>
    <n v="0"/>
    <s v="Budget Request"/>
    <n v="90"/>
    <s v="N/A"/>
    <s v="No"/>
    <x v="0"/>
    <x v="4"/>
    <m/>
    <n v="6243301.3600000013"/>
  </r>
  <r>
    <x v="2"/>
    <s v="24SNFLT01"/>
    <s v="Skilled Nursing Facility"/>
    <n v="3161"/>
    <d v="2024-01-24T00:00:00"/>
    <d v="2026-12-31T00:00:00"/>
    <n v="1072"/>
    <n v="0.53731343283582089"/>
    <n v="5716150"/>
    <n v="-4792128"/>
    <n v="0"/>
    <n v="924022"/>
    <n v="5716150"/>
    <n v="-4792128"/>
    <n v="5716150"/>
    <s v="24FRF31614"/>
    <s v="Fund placement of 11 long term clients into skilled nursing facilities. The forensic clients would be conditionally released and remain committed to the division."/>
    <s v="Select clients that are assessed as appropriate for placement at a skilled nursing facility would be eligible for conditional release."/>
    <s v="N/A"/>
    <s v="Efforts are ongoing.   Due to competative rate adjustments, a Savings of $2,721,280 was identified and reallocated to Jail Based Programming 24JBMHP01.  Remaining balance expected to be expended by end of project period."/>
    <x v="2"/>
    <n v="3645302"/>
    <m/>
    <n v="3645302"/>
    <n v="686016.86"/>
    <n v="73039.710000000006"/>
    <n v="759056.57"/>
    <n v="0.13279157649816747"/>
    <n v="-2070848"/>
    <n v="3645302"/>
    <n v="2070848"/>
    <n v="0"/>
    <s v="Budget Request"/>
    <n v="11"/>
    <s v="N/A"/>
    <s v="No"/>
    <x v="0"/>
    <x v="4"/>
    <m/>
    <n v="2886245.43"/>
  </r>
  <r>
    <x v="2"/>
    <s v="22FRHSP01"/>
    <s v="STEIN FORENSIC HOSP. - RENOVATIONS_x000a_SPWD Project#: 22-A001"/>
    <n v="3161"/>
    <d v="2022-04-08T00:00:00"/>
    <d v="2023-09-30T00:00:00"/>
    <n v="540"/>
    <n v="1"/>
    <n v="4972547"/>
    <n v="-4748855.51"/>
    <n v="0"/>
    <n v="223691.49000000022"/>
    <n v="4972547"/>
    <n v="-4748855.51"/>
    <n v="4972547"/>
    <s v="22FRF31612/_x000a_23FRF31613"/>
    <s v="Renovations to the hospital to include construction changes and equipment installation."/>
    <s v="This project updates and replaces the 2 elevators and anti-ligature upgrades in the Allied Therapy room and for the expansion of the existing control room in Stein Hospital"/>
    <s v="N/A"/>
    <s v="Remaining Balance of Project Deobligated 2/2024"/>
    <x v="0"/>
    <n v="223691.49"/>
    <m/>
    <n v="223691.49"/>
    <n v="223691.49"/>
    <n v="0"/>
    <n v="223691.49"/>
    <n v="4.4985294256645533E-2"/>
    <n v="-4748855.51"/>
    <n v="223691.49000000022"/>
    <n v="4748855.51"/>
    <n v="2.3283064365386963E-10"/>
    <s v="Completed"/>
    <s v="N/A"/>
    <s v="N/A"/>
    <s v="Yes"/>
    <x v="2"/>
    <x v="0"/>
    <m/>
    <n v="2.3283064365386963E-10"/>
  </r>
  <r>
    <x v="2"/>
    <s v="22LVMHC01"/>
    <s v="SNAMHS MASTER PLAN"/>
    <n v="3161"/>
    <d v="2022-02-10T00:00:00"/>
    <d v="2022-12-31T00:00:00"/>
    <n v="324"/>
    <n v="1"/>
    <n v="286977"/>
    <n v="-79110.5"/>
    <n v="0"/>
    <n v="207866.5"/>
    <n v="286977"/>
    <n v="-79110.5"/>
    <n v="286977"/>
    <s v="22FRF31611"/>
    <s v="Southern Nevada Adult Mental Health Services (SNAMHS) Master Plan"/>
    <s v="Creation of a master plan for the SNAMHS  campus."/>
    <s v="N/A"/>
    <s v="Completed - 12/31/2022 - Final de-obligation completed 4/28/2024"/>
    <x v="0"/>
    <n v="207866.5"/>
    <m/>
    <n v="207866.5"/>
    <n v="207866"/>
    <m/>
    <n v="207866"/>
    <n v="0.72432982434132354"/>
    <n v="-79110.5"/>
    <n v="207866.5"/>
    <n v="79110.5"/>
    <n v="0"/>
    <s v="Completed"/>
    <s v="N/A"/>
    <s v="N/A"/>
    <m/>
    <x v="2"/>
    <x v="0"/>
    <m/>
    <n v="0.5"/>
  </r>
  <r>
    <x v="2"/>
    <s v="23ANTLG01"/>
    <s v="Anti Ligature Furniture"/>
    <n v="3161"/>
    <d v="2022-10-20T00:00:00"/>
    <d v="2023-06-30T00:00:00"/>
    <n v="253"/>
    <n v="1"/>
    <n v="475000"/>
    <n v="-69.75"/>
    <n v="0"/>
    <n v="474930.25"/>
    <n v="475000"/>
    <n v="-69.75"/>
    <n v="475000"/>
    <s v="23FRF31612"/>
    <s v="Southern Nevada Adult Mental Health Services - Anti-Ligature Furnishings"/>
    <s v="To upgrade the furniture in the Stein Hospital and Rawson Neal Hospital to anti-ligature furniture."/>
    <s v="N/A"/>
    <s v="Completed and closed out June 2024"/>
    <x v="0"/>
    <n v="474930.25"/>
    <m/>
    <n v="474930.25"/>
    <n v="474930.25"/>
    <m/>
    <n v="474930.25"/>
    <n v="0.99985315789473683"/>
    <n v="-69.75"/>
    <n v="474930.25"/>
    <n v="69.75"/>
    <n v="0"/>
    <s v="Completed"/>
    <s v="N/A"/>
    <s v="N/A"/>
    <m/>
    <x v="2"/>
    <x v="4"/>
    <m/>
    <n v="0"/>
  </r>
  <r>
    <x v="2"/>
    <s v="23FBCLV01"/>
    <s v="Forensic Bed Capacity LV"/>
    <n v="3161"/>
    <d v="2022-10-20T00:00:00"/>
    <d v="2026-12-31T00:00:00"/>
    <n v="1533"/>
    <n v="1"/>
    <n v="55378801"/>
    <n v="-54378801"/>
    <n v="0"/>
    <n v="1000000"/>
    <n v="55378801"/>
    <n v="-54378801"/>
    <n v="1793116"/>
    <s v="23FRF31615"/>
    <s v="Fund expansion of Forensic bed capacity by 45 beds at the City of Las Vegas' detention center, to include construction needs and staffing"/>
    <s v="The City of Las Vegas has two empty units at their detention center, the building  and area in a secured locked environment for  client population that are court order to DPBH custody of restoration to competency."/>
    <s v="N/A"/>
    <s v="Project terminated on September 2023."/>
    <x v="0"/>
    <n v="490330.41"/>
    <m/>
    <n v="490330.41"/>
    <n v="490330.41"/>
    <m/>
    <n v="490330.41"/>
    <n v="0.27345158372352929"/>
    <n v="-54378801"/>
    <n v="490330.41"/>
    <n v="54888470.590000004"/>
    <n v="0"/>
    <s v="Completed"/>
    <m/>
    <m/>
    <s v="Yes"/>
    <x v="2"/>
    <x v="4"/>
    <m/>
    <n v="0"/>
  </r>
  <r>
    <x v="2"/>
    <s v="23BH98801"/>
    <s v="988 Crisis Response System"/>
    <n v="3165"/>
    <d v="2022-07-01T00:00:00"/>
    <d v="2025-09-30T00:00:00"/>
    <n v="1187"/>
    <n v="1"/>
    <n v="3500000"/>
    <n v="0"/>
    <n v="0"/>
    <n v="3500000"/>
    <n v="3500000"/>
    <n v="0"/>
    <n v="3500000"/>
    <s v="23FRF31652"/>
    <s v="Establishing a Crisis Response System for Nevada"/>
    <s v="Fully funding both the 988 Crisis Call Center and Care Traffic Control Hub simultaneously, along with the other components of a CRS, will create a fully functional system that can deploy resources to Nevadans in crisis, mitigating serious consequences that result in negative, sometimes fatal outcomes. "/>
    <s v="Current use of this category has been for the budget line item 988 project manager. State of Nevada recently executed a second year extension for the project manager. Roughly left is 3.1 million that is allocated for the launch of the 988 request for proposal (RFP) which will be released late 2023, and paid Spring 2024."/>
    <s v="This funding supported a $49.7M contract for Nevada to have a second 988 Suicide and Crisis Lifeline. This was executed in November 2024, this contract will also improve the current technology and infrastructure of Nevada for crisis response, across the state. Project manager was hired for the 988 call center project."/>
    <x v="0"/>
    <n v="3500000"/>
    <n v="0"/>
    <n v="3500000"/>
    <n v="3484249.34"/>
    <m/>
    <n v="3484249.34"/>
    <n v="0.99549981142857136"/>
    <n v="0"/>
    <n v="3500000"/>
    <n v="0"/>
    <n v="0"/>
    <s v="One Time Funding"/>
    <s v="Data per month:_x000a_2600 calls _x000a_480 chats_x000a_520 texts_x000a_State projects the above data for use of the 988 call center, which the funds will be used to launch._x000a_"/>
    <s v="3.1 million allocated for the release of RFP and launch of 988 will be Nationally certified suicide prevention lifeline, Vibrant accreditation standards met for crisis call center and SAMHSA National guidelines for behavioral health crisis care Best practices. "/>
    <s v="No"/>
    <x v="0"/>
    <x v="4"/>
    <m/>
    <n v="15750.660000000149"/>
  </r>
  <r>
    <x v="2"/>
    <s v="23CSSBC01"/>
    <s v="Crisis Stabilization Centers"/>
    <n v="3165"/>
    <d v="2022-07-01T00:00:00"/>
    <d v="2026-06-30T00:00:00"/>
    <n v="1460"/>
    <n v="1"/>
    <n v="20000000"/>
    <n v="0"/>
    <n v="-5000000"/>
    <n v="15000000"/>
    <n v="15000000"/>
    <n v="0"/>
    <n v="20000000"/>
    <s v="23FRF31653"/>
    <s v="Crisis Stabilization Centers: To provide funding for Infrastructure, tenant improvement, and operational costs to establish crisis stabilization centers."/>
    <s v="Execute contracts with hospitals to provide funding for infrastructure, tenant improvement, and operational costs o establish crisis stabilization centers."/>
    <s v="State of Nevada has finalized a subaward for five million to establish and build 1 Crisis Stabilization center. State is preparing to post a Request for application for new builds and or renovations of current hospital or medical centers to stand up additional Crisis Stabilization centers. Subawards in place with Renown. Interlocal agreements anticipated with Clark County for an amount of $10M. $5M can be deobligated."/>
    <s v="Subawards with UMC and Renown have expired and the program is looking to change the scope of work for the remaining funds to better align with other projects. Renown Crisis Stabilization Center closed due to ARPA funds being terminated by the federal Substance Abuse and Mental Health Services Administration (SAMHSA). UMC opened in June 2025 and is accepting patients."/>
    <x v="0"/>
    <n v="15000000"/>
    <m/>
    <n v="15000000"/>
    <n v="13908431.630000001"/>
    <m/>
    <n v="13908431.630000001"/>
    <n v="0.6954215815"/>
    <n v="-5000000"/>
    <n v="15000000"/>
    <n v="0"/>
    <n v="0"/>
    <s v="One Time Funding"/>
    <n v="69"/>
    <s v="Our community partners implement EB practices in their day to day business models."/>
    <s v="Yes"/>
    <x v="0"/>
    <x v="4"/>
    <m/>
    <n v="1091568.3699999992"/>
  </r>
  <r>
    <x v="2"/>
    <s v="23EMGCS01"/>
    <s v="Emergency Funding for Crisis Care"/>
    <n v="3165"/>
    <d v="2022-07-01T00:00:00"/>
    <d v="2025-12-31T00:00:00"/>
    <n v="1279"/>
    <n v="0.89757623143080534"/>
    <n v="10000000"/>
    <n v="-5000000"/>
    <n v="-1900000"/>
    <n v="3100000"/>
    <n v="3100000"/>
    <n v="0"/>
    <n v="10000000"/>
    <s v="23FRF31654"/>
    <s v="To provide emergency funding to address the surge in behavioral health needs as it relates to the pandemic for behavioral health crisis triage, residential, and inpatient services "/>
    <s v="Expansion services to include residential treatment services to ensure medically necessary treatment can be provided to those with acute needs"/>
    <s v="These funds are allocated to support and provide funding for un-insured and under insured Nevadans suffering from a mental health crisis. Currently $720,488.00 has been spent and State of Nevada is having negotiations for additional subawards to be created with our hospitals to utilize this funding. Will request extension for these funds."/>
    <s v="Program has begun process for new contract for community partner Seven Hills to utilize increase threshold cap. Received extension request approval, providing until 12/31/2025 to expend remaining amount giving a monthly projection of $43,953.20 x 6 months. The remaining balance for the CRS billing funds s projected to be expended by November/December to a direct client service agreement with Seven Hills, and the the remaining $17k will be utilized for the 7.1% indirect on contracts. "/>
    <x v="1"/>
    <n v="2103303"/>
    <n v="996697"/>
    <n v="3100000"/>
    <n v="2675969.54"/>
    <n v="160311.28"/>
    <n v="2836280.82"/>
    <n v="0.283628082"/>
    <n v="-6900000"/>
    <n v="3100000"/>
    <n v="0"/>
    <n v="0"/>
    <s v="One Time Funding"/>
    <s v="N/A"/>
    <s v="Our community partners implement EB practices in their day to day business models."/>
    <s v="No"/>
    <x v="0"/>
    <x v="4"/>
    <m/>
    <n v="263719.18000000017"/>
  </r>
  <r>
    <x v="2"/>
    <s v="23NVRES01"/>
    <s v="Nevada Resilience Project"/>
    <n v="3165"/>
    <d v="2022-07-01T00:00:00"/>
    <d v="2024-06-30T00:00:00"/>
    <n v="730"/>
    <n v="1"/>
    <n v="1956000"/>
    <n v="-1956000"/>
    <n v="0"/>
    <n v="0"/>
    <n v="1956000"/>
    <n v="-1956000"/>
    <n v="1956000"/>
    <s v="23FRF31651"/>
    <s v="Expands the Nevada Resilience Project"/>
    <s v="Puts Resilience Ambassadors in additional partner agencies."/>
    <s v="State of NV intends to use $1,899,293 to execute a sub-award with a trusted provider to expand NV Resilience Project to full capacity. Sub-award ensures provider-based supervision, expansion of services, increasing behavioral health workforce, and ensuring resilience ambassadors become certified community health workers/peer support specialists, if applicable. Resilience ambassadors will continue to provide individual/group counseling, psycho-education support, resource navigation, suicide prevention, crisis assessment, and recovery supports based on the behavioral impacts of CV-19."/>
    <s v="Project has ended. De-obligated back to GFO Feb 2024."/>
    <x v="0"/>
    <n v="0"/>
    <m/>
    <n v="0"/>
    <n v="0"/>
    <m/>
    <n v="0"/>
    <n v="0"/>
    <n v="-1956000"/>
    <n v="0"/>
    <n v="1956000"/>
    <n v="0"/>
    <s v="One Time Funding"/>
    <s v="Resilience Ambassadors provided services to 1,480 individuals in the last quarter under the Health Disparity (CAT 13) grant, averaging 493.3 individuals per month. Additionally, another 2,074 individuals were served under Prevention (CAT 27) dollars, averaging 691.3 individuals per month."/>
    <s v="$1,956,000 was allocated for expansion of Nevada Resilience Project to continue providing evidence-based interventions, such as Psychological First Aid, Skills for Psychological Recovery, and sought to certify all staff as Community Health Workers and Peer Support, if qualified. All services are strictly focused on prevention and early intervention with regard to mental and behavioral health stress post-crisis/disaster."/>
    <s v="No"/>
    <x v="0"/>
    <x v="4"/>
    <m/>
    <n v="0"/>
  </r>
  <r>
    <x v="2"/>
    <s v="23MYAVT01"/>
    <s v="my AVATAR"/>
    <n v="3168"/>
    <d v="2022-10-20T00:00:00"/>
    <d v="2024-06-30T00:00:00"/>
    <n v="619"/>
    <n v="1"/>
    <n v="862544"/>
    <n v="-139229"/>
    <n v="0"/>
    <n v="723315"/>
    <n v="862544"/>
    <n v="-139229"/>
    <n v="814690.75"/>
    <s v="23FRF31681"/>
    <s v="Upgrade AVATAR to NX - my Avatar is an Netsmart ONC-certified electronic health record (eHR) solution specifically designed for behavioral healthcare and addiction treatment in community-based, residential, and inpatient programs. The Division's application is currently operating on an aging Netsmart platform which is soon to become obsolete. The aging version needs to be upgraded to the Netsmart NX version or needs to be replaced prior to 10/14/2025 due to dependencies on Internet Explorer 11. IE11 has a dependency on Windows 10 and the security patches and updates will no longer be available after that date.  The existing platform is also Java 32 bit dependent.  This dependency introduces high maintenance for Field and Technical Services and the my Avatar help desk as it results in tickets being generated due to Java dependencies and the wrong version of Java running on end user pcs. In addition, the vendor has moved on to enhancing and supporting upgraded versions of the existing application which introduces limitations on current functionality available for upgrades and enhancements as technology continues to change."/>
    <m/>
    <m/>
    <s v="NX upgrade is almost completed; EMAR portion to be completed by June."/>
    <x v="0"/>
    <n v="675461.75"/>
    <m/>
    <n v="675461.75"/>
    <n v="675461.75"/>
    <m/>
    <n v="675461.75"/>
    <n v="0.829102024295722"/>
    <n v="-139229"/>
    <n v="675461.75"/>
    <n v="187082.25"/>
    <n v="0"/>
    <s v="The project is to be completed June 30, 2024; no additional funding will be required.  WP is being processed to de-obligate funds."/>
    <m/>
    <m/>
    <s v="No"/>
    <x v="0"/>
    <x v="4"/>
    <m/>
    <n v="0"/>
  </r>
  <r>
    <x v="2"/>
    <s v="22FSCPT01"/>
    <s v="CRG - Family Support Center"/>
    <n v="3170"/>
    <d v="2022-02-09T00:00:00"/>
    <d v="2023-06-30T00:00:00"/>
    <n v="506"/>
    <n v="1"/>
    <n v="153764"/>
    <n v="-153764"/>
    <n v="0"/>
    <n v="0"/>
    <n v="153764"/>
    <n v="-153764"/>
    <n v="153764"/>
    <s v="22FRF31701"/>
    <s v="To increase services and reduce wait times  for  mental health, substance use and abuse, trauma, and family strengthening services for individuals who have feelings of loneliness, anxiety, depression, or drug use due to the COVID-19 pandemic."/>
    <s v="The objective of this project is to increase access to mental health, substance use and abuse, trauma, and family strengthening services through the addition of certified staff. "/>
    <s v="Additional individuals and families will be able to get services sooner and reduce the wait times and wait lists for these services. "/>
    <s v="Project was never initiated. De-obligated back to GFO 2/2024."/>
    <x v="0"/>
    <n v="0"/>
    <m/>
    <n v="0"/>
    <n v="0"/>
    <m/>
    <n v="0"/>
    <n v="0"/>
    <n v="-153764"/>
    <n v="0"/>
    <n v="153764"/>
    <n v="0"/>
    <s v="Completed"/>
    <s v="N/A"/>
    <n v="153764"/>
    <s v="No"/>
    <x v="1"/>
    <x v="4"/>
    <m/>
    <n v="0"/>
  </r>
  <r>
    <x v="2"/>
    <s v="22MXYUP01"/>
    <s v="CRG - Moxy Up"/>
    <n v="3170"/>
    <d v="2022-04-04T00:00:00"/>
    <d v="2023-12-31T00:00:00"/>
    <n v="636"/>
    <n v="1"/>
    <n v="169565"/>
    <n v="0"/>
    <n v="-100162.2"/>
    <n v="69402.8"/>
    <n v="169565"/>
    <n v="-100162.2"/>
    <n v="169565"/>
    <s v="22FRF31702"/>
    <s v="&quot;Moxy Up&quot; a non-profit organization in Douglas County that is currently run by_x000a_volunteers, the ARPA COVID relief funding will provide funds for paid staff, which are now needed to ensure stability in_x000a_providing an increased need for education assistance and youth crisis services due to the COVID 19 pandemic, which_x000a_has changed the learning environment for youth by causing isolation during times of exposure"/>
    <s v="Ensure stability in providing an increased need for education assistance and youth crisis services due to the COVID 19 pandemic"/>
    <s v="Youth initiative to those who have no after school resources when dealing with urgent/crisis needs within their family, school setting or out in the community."/>
    <s v="Project has ended. De-obligated back to GFO 6/2024."/>
    <x v="0"/>
    <n v="69402.8"/>
    <m/>
    <n v="69402.8"/>
    <n v="69402.8"/>
    <m/>
    <n v="69402.8"/>
    <n v="0.40929908884498573"/>
    <n v="-100162.2"/>
    <n v="69402.8"/>
    <n v="100162.2"/>
    <n v="0"/>
    <s v="Completed"/>
    <s v="N/A"/>
    <n v="169565"/>
    <s v="No"/>
    <x v="1"/>
    <x v="4"/>
    <m/>
    <n v="0"/>
  </r>
  <r>
    <x v="2"/>
    <s v="23MHINP01"/>
    <s v="Mental Health Integration"/>
    <n v="3170"/>
    <d v="2022-10-20T00:00:00"/>
    <d v="2025-03-31T00:00:00"/>
    <n v="893"/>
    <n v="1.1612541993281076"/>
    <n v="1956011"/>
    <n v="0"/>
    <n v="0"/>
    <n v="1956011"/>
    <n v="1956011"/>
    <n v="0"/>
    <n v="1956011"/>
    <s v="23FRF31703"/>
    <s v="Sub-Grants to support Assertive Community Treatment (ACT) and Forensic Assertive Community Treatment (FACT) programs statewide."/>
    <s v="Provides Assertive Community Treatment programs to communities in Washoe and Clark Counties to divert certain populations from the criminal justice system."/>
    <s v="COVID-19 exacerbated mental health concerns in the community. These funds work to address that concern."/>
    <s v="Legacy submitted their last RFR to expend all subaward funds, The remaining balance for the entire grant is $993.27"/>
    <x v="1"/>
    <n v="1956011"/>
    <m/>
    <n v="1956011"/>
    <n v="1682170.19"/>
    <n v="272848.13"/>
    <n v="1955018.3199999998"/>
    <n v="0.999492497741577"/>
    <m/>
    <n v="1956011"/>
    <n v="0"/>
    <n v="0"/>
    <s v="One Time Funding"/>
    <m/>
    <m/>
    <s v="No"/>
    <x v="0"/>
    <x v="4"/>
    <m/>
    <n v="992.68000000016764"/>
  </r>
  <r>
    <x v="2"/>
    <s v="23NWSPE01"/>
    <s v="Newborn Screen Panel Expansion"/>
    <n v="3170"/>
    <d v="2022-10-20T00:00:00"/>
    <d v="2026-06-30T00:00:00"/>
    <n v="1349"/>
    <n v="1"/>
    <n v="1084810"/>
    <n v="0"/>
    <n v="-1084810"/>
    <n v="0"/>
    <n v="1084810"/>
    <n v="-1084810"/>
    <n v="1084810"/>
    <s v="23FRF31704"/>
    <s v="To purchase equipment to run opioid exposure panel as part of the newborn screening panel at the Nevada State Public Health Lab."/>
    <s v="Purchase new lab equipment to run opioid exposure panel."/>
    <s v="These funds are allocated to fund lab equipment to check for opioid exposure at birth."/>
    <s v="Project was never initiated. De-obligated back to GFO 3/2024"/>
    <x v="0"/>
    <n v="0"/>
    <m/>
    <n v="0"/>
    <n v="0"/>
    <m/>
    <n v="0"/>
    <n v="0"/>
    <n v="-1084810"/>
    <n v="0"/>
    <n v="1084810"/>
    <n v="0"/>
    <s v="Completed"/>
    <m/>
    <m/>
    <s v="No"/>
    <x v="0"/>
    <x v="4"/>
    <m/>
    <n v="0"/>
  </r>
  <r>
    <x v="2"/>
    <s v="22CSAA01"/>
    <s v="COVID-19 Call Center"/>
    <n v="3213"/>
    <d v="2022-02-09T00:00:00"/>
    <d v="2022-06-30T00:00:00"/>
    <n v="141"/>
    <n v="1"/>
    <n v="3884280"/>
    <n v="0"/>
    <n v="0"/>
    <n v="3884280"/>
    <n v="3884280"/>
    <n v="0"/>
    <n v="3884280"/>
    <s v="22FR321301"/>
    <s v="Continue to provide vaccine scheduling support through inbound and outbound calls through the CSAA call center. "/>
    <s v="The Call Center can be reached 7 days per week from 7 AM to 8 PM."/>
    <s v="The Call Center ensures that all residents can navigate services for COVID. "/>
    <s v="Project Completed 6/2024"/>
    <x v="0"/>
    <n v="3884280"/>
    <m/>
    <n v="3884280"/>
    <n v="3884280"/>
    <m/>
    <n v="3884280"/>
    <n v="1"/>
    <n v="0"/>
    <n v="3884280"/>
    <n v="0"/>
    <n v="0"/>
    <s v="Completed"/>
    <s v="Between 1/2022-3/2022: 12,763 inbound vaccine calls, 1,053 testing/therapeutics calls, 971 inbound Spanish vaccine/testing calls, 1,178 inbound calls from homebound individuals, 3,295 chats answered, 65,267 outreach calls made, 1,216 NV WebIZ assists"/>
    <n v="3884280"/>
    <s v="No"/>
    <x v="0"/>
    <x v="1"/>
    <m/>
    <n v="0"/>
  </r>
  <r>
    <x v="2"/>
    <s v="22NRSAP01"/>
    <s v="Nursing Assistance Program"/>
    <n v="3216"/>
    <d v="2022-02-09T00:00:00"/>
    <d v="2025-08-31T00:00:00"/>
    <n v="1299"/>
    <n v="0.99307159353348728"/>
    <n v="20739792"/>
    <n v="5285296"/>
    <n v="-9390199"/>
    <n v="16634889"/>
    <n v="16634889"/>
    <n v="0"/>
    <n v="20739792"/>
    <s v="22FR321601"/>
    <s v="Facilitate and increase participation in the Nurse Apprenticeship Program (NAP)"/>
    <s v="Increase health care staffing in Critical Access Hospitals, Acute Care, and Skilled Nursing facilities by offering nursing students the opportunity to become employed to utilize skills they are certified to perform while still in nursing school."/>
    <s v="COVID-19 highlighted issues surrounding NV’s healthcare workforce shortage. Funding and promoting the NAP and assisting healthcare facilities with employing nursing students will increase sustainability of the nursing workforce throughout the state."/>
    <s v="The Nurse Apprentice Program (NAP)  project was completed on 6/30/2025.  The remaining balance of funds, $217,868, was re-allocated to the jail-based program."/>
    <x v="1"/>
    <n v="16634889"/>
    <m/>
    <n v="16634889"/>
    <n v="16376536.239999998"/>
    <n v="470180.77"/>
    <n v="16846717.009999998"/>
    <n v="0.81228958371424353"/>
    <n v="-4104903"/>
    <n v="16634889"/>
    <n v="0"/>
    <n v="0"/>
    <s v="One Time Funding"/>
    <s v="N/A"/>
    <n v="20739792"/>
    <s v="No"/>
    <x v="0"/>
    <x v="1"/>
    <m/>
    <n v="-211828.00999999791"/>
  </r>
  <r>
    <x v="2"/>
    <s v="22CVTST01"/>
    <s v="COVID-19 Rapid Test Kits"/>
    <n v="3218"/>
    <d v="2022-01-01T00:00:00"/>
    <d v="2023-06-30T00:00:00"/>
    <n v="545"/>
    <n v="1"/>
    <n v="5000000"/>
    <n v="-164"/>
    <n v="0"/>
    <n v="4999836"/>
    <n v="5000000"/>
    <n v="-164"/>
    <n v="5000000"/>
    <s v="22FR321802"/>
    <s v="Purchase at-home rapid antigen testing kits to be distributed throughout Nevada by community partners."/>
    <s v="At-home kits are available at locations statewide. Residents can call the 800# or visit NVHealthResponse to identify the locations of the kits in their communities.  "/>
    <s v="Testing for COVID is a key part of the public health response to the pandemic. Ensuring that residents have free and easy to use testing allows them to screen and isolate if positive. "/>
    <s v="Project Completed 6/2023"/>
    <x v="0"/>
    <n v="4999836"/>
    <m/>
    <n v="4999836"/>
    <n v="4999836"/>
    <m/>
    <n v="4999836"/>
    <n v="0.99996719999999994"/>
    <n v="-164"/>
    <n v="4999836"/>
    <n v="164"/>
    <n v="0"/>
    <s v="Completed"/>
    <s v="588,000 tests"/>
    <n v="5000000"/>
    <s v="No"/>
    <x v="0"/>
    <x v="1"/>
    <m/>
    <n v="0"/>
  </r>
  <r>
    <x v="2"/>
    <s v="22CVTST02"/>
    <s v="COVID-19 Test Kits/CSAA Call Center/ NICUSA Contract"/>
    <n v="3218"/>
    <d v="2022-01-01T00:00:00"/>
    <d v="2022-12-31T00:00:00"/>
    <n v="364"/>
    <n v="1"/>
    <n v="17559408"/>
    <n v="-8299851.7300000004"/>
    <n v="0"/>
    <n v="9259556.2699999996"/>
    <n v="17559408"/>
    <n v="-8299851.7300000004"/>
    <n v="17559408"/>
    <s v="22FR321803"/>
    <s v="Purchase at-home rapid antigen testing kits to be distributed throughout Nevada by community partners. Extend the testing site at the LCB building through Spring. Develop testing and therapeutic service support through the CSAA call center. "/>
    <s v="At-home kits are available at locations statewide. Residents can call the 800# or visit NVHealthResponse to identify the locations of the kits in their communities. The LCB testing site has been offered to any residents, free of charge. This service will run through approximately May. The Call Center can be reached 7 days per week from 7 AM to 8 PM. "/>
    <s v="Testing for COVID is a key part of the public health response to the pandemic. Ensuring that residents have free and easy to use testing allows them to screen and isolate if positive. Having a call center helps keep the public informed."/>
    <s v="Project Ended 5/2024"/>
    <x v="0"/>
    <n v="9259556.2699999996"/>
    <m/>
    <n v="9259556.2699999996"/>
    <n v="9259556.2699999996"/>
    <m/>
    <n v="9259556.2699999996"/>
    <n v="0.52732736035292305"/>
    <n v="-8299851.7300000004"/>
    <n v="9259556.2699999996"/>
    <n v="8299851.7300000004"/>
    <n v="0"/>
    <s v="Completed"/>
    <s v="N/A"/>
    <n v="17559408"/>
    <s v="No"/>
    <x v="0"/>
    <x v="1"/>
    <m/>
    <n v="0"/>
  </r>
  <r>
    <x v="2"/>
    <s v="22MCOTC01"/>
    <s v="Monoclonal Antibody/Therapeutic Treatments"/>
    <n v="3218"/>
    <d v="2022-01-01T00:00:00"/>
    <d v="2023-06-30T00:00:00"/>
    <n v="545"/>
    <n v="1"/>
    <n v="19613518"/>
    <n v="-10"/>
    <n v="0"/>
    <n v="19613508"/>
    <n v="19613518"/>
    <n v="-10"/>
    <n v="19613528"/>
    <s v="22FR321801"/>
    <s v="Provide COVID therapeutics statewide, free of charge for those at risk of severe disease. This includes telehealth, monoclonal antibody treatments, and Evershed for pre-exposure. "/>
    <s v="Residents can call the 800# or visit NVHealthResponse to access the services. They will be pre-screened and if they qualify can seek services either at a fixed site or telehealth."/>
    <s v="These treatments have been shown to reduce the risk of severe disease and death by as much as 90%. "/>
    <s v="Project Completed 2/2024"/>
    <x v="0"/>
    <n v="19613518"/>
    <m/>
    <n v="19613518"/>
    <n v="19613518"/>
    <m/>
    <n v="19613518"/>
    <n v="0.99999949014782041"/>
    <n v="-10"/>
    <n v="19613518"/>
    <n v="0"/>
    <n v="0"/>
    <s v="Completed"/>
    <s v="N/A"/>
    <n v="19613528"/>
    <s v="No"/>
    <x v="0"/>
    <x v="1"/>
    <m/>
    <n v="0"/>
  </r>
  <r>
    <x v="2"/>
    <s v="23CFAEP01"/>
    <s v="EPIDEMIOLOGIST"/>
    <n v="3219"/>
    <d v="2022-10-20T00:00:00"/>
    <d v="2026-12-31T00:00:00"/>
    <n v="1533"/>
    <n v="0.67645140247879976"/>
    <n v="5000000"/>
    <n v="0"/>
    <n v="0"/>
    <n v="5000000"/>
    <n v="5000000"/>
    <n v="0"/>
    <n v="5000000"/>
    <s v="23FRF32192"/>
    <s v="To provide direct support to public departments and provide advance training to people entering the public health workforce."/>
    <s v="Support will be provided through increased staffing to the Office of State Epidemiology and the Office of Analytics through contracted staff to enhance public health infrastructure and response. "/>
    <s v="Allows for increased efficiency to increased public health impact from COVID-19. Will continuously assess DHHS workforce needs to hire staff as necessary"/>
    <s v="UNLV EPI BIO SG-2024-00428 : On June 1, they opened the applications for fellowship cohort 2 to start on December 1. The applications closed on June 30. Of 27 applicants that met the requirements, 7 applied for SNHD, 3 applied for NNPH, and 17 applied for both agencies. They have a stronger pool of applicants this year and attribute this to two things. First, they are starting much earlier this year, allowing them to capture more spring 2025 graduates. Second, there were drastic changes in federal public health funding that have made the job market much tougher, so there are a lot more recent graduates looking for jobs. They have a lot more applicants from outside Nevada this time, allowing them to potentially attract good epidemiologists to the state. All funds are expected to be spent down."/>
    <x v="2"/>
    <n v="5000000"/>
    <m/>
    <n v="5000000"/>
    <n v="1294700.28"/>
    <n v="442949.46"/>
    <n v="1737649.74"/>
    <n v="0.34752994799999998"/>
    <n v="0"/>
    <n v="5000000"/>
    <n v="0"/>
    <n v="0"/>
    <s v="One Time Funding"/>
    <m/>
    <m/>
    <s v="No"/>
    <x v="0"/>
    <x v="2"/>
    <m/>
    <n v="3262350.26"/>
  </r>
  <r>
    <x v="2"/>
    <s v="23GIDTR01"/>
    <s v="GENOMIC INFECTIOUS DISEASE TRACKING"/>
    <n v="3219"/>
    <d v="2022-10-20T00:00:00"/>
    <d v="2026-06-30T00:00:00"/>
    <n v="1349"/>
    <n v="0.76871756856931062"/>
    <n v="1500000"/>
    <n v="0"/>
    <n v="0"/>
    <n v="1500000"/>
    <n v="1500000"/>
    <n v="0"/>
    <n v="1500000"/>
    <s v="23FRF32193"/>
    <s v="Sub-grant with the Nevada State Public Health Laboratory to support genomic infection disease tracking, data analysis, and enhanced training to support the work of epidemiologists and investigators in the knowledge of genomic biology. "/>
    <s v="N/A"/>
    <s v="N/A"/>
    <s v="As of April 2025 NSPHL's Lab-Epi Liaison position is fully proficient with NSPHL genomic testing and bioinformatic interpretation. He is currently developing training presentations for statewide epidemiologists including utilization of the NSPHL dashboard for SARS-CoV-2. This will allow NSPHL to satisfy conditions of their scope of work agreement to increase statewide training and capacity in the working knowledge of genomic biology. 7 trainings have already been delivered, and a pre-post test is in development for future trainings. Additionally, NSPHL implemented a new STARLIMS v12 cloud-based LIMS in December 2024 which will allow data integration with the systems used by the Office of State Epidemiology.  Meetings will be required between the NSPHL IT and genomics staff and the Office of State Epidemiology to define what data is to be electronically transmitted to EpiTRAX to enhance case investigations. At this time, there are no concerns and the project is still anticipated to be completed by Dec 2025.   NSPHL received funding for laboratory equipment service agreements ($134,247.35) that was paid in February 2025. "/>
    <x v="1"/>
    <n v="1500000"/>
    <m/>
    <n v="1500000"/>
    <n v="795489.52"/>
    <n v="0"/>
    <n v="795489.52"/>
    <n v="0.53032634666666667"/>
    <n v="0"/>
    <n v="1500000"/>
    <n v="0"/>
    <n v="0"/>
    <s v="NSPHL and OSE are applying for Epidemiology and Laboratory Capacity (ELC) Grant funding through CDC and writing in the Genomic-Epi-Lab Specialist for Project D-Advanced Molecular Detection. If funded, this position and associated project deliverables will have sustainability through the end of ARPA Funding until the end of the ELC 5 year grant cycle, which is 7/31/2029"/>
    <m/>
    <m/>
    <s v="No"/>
    <x v="0"/>
    <x v="1"/>
    <m/>
    <n v="704510.48"/>
  </r>
  <r>
    <x v="2"/>
    <s v="23MNKPX01"/>
    <s v="MEN'S HEALTH INFORMATION CAMPAIGN / Monkeypox"/>
    <n v="3219"/>
    <d v="2022-10-20T00:00:00"/>
    <d v="2023-12-31T00:00:00"/>
    <n v="437"/>
    <n v="1"/>
    <n v="345000"/>
    <n v="-716.02"/>
    <n v="0"/>
    <n v="344283.98"/>
    <n v="345000"/>
    <n v="-716.02000000001863"/>
    <n v="345000"/>
    <s v="23FRF32191"/>
    <s v="To fund Community Health Workers and an awareness campaign regarding the transmission of monkeypox and other health issues for gay and bisexual men. "/>
    <s v="N/A"/>
    <s v="N/A"/>
    <s v="This project has ended. The project was awarded $345,000 total, and of that $344,283.98 was expended. The KPS3 media campaign was hugely successful, generating a large amount of reach over a variety of social media platforms. Silver State Equality was also able to implement and support traditional and social media messaging developed by KPS3, and create materials for stigma reduction and educational purposes.  "/>
    <x v="0"/>
    <n v="344283.98"/>
    <m/>
    <n v="344283.98"/>
    <n v="344283.98"/>
    <m/>
    <n v="344283.98"/>
    <n v="0.99792457971014492"/>
    <n v="-716.02"/>
    <n v="344283.98"/>
    <n v="716.02000000001863"/>
    <n v="0"/>
    <s v="Completed"/>
    <m/>
    <m/>
    <s v="No"/>
    <x v="0"/>
    <x v="1"/>
    <m/>
    <n v="0"/>
  </r>
  <r>
    <x v="2"/>
    <s v="23CDPHP01"/>
    <s v="CHRONIC DISEASE AND HEALTH PROMOTION "/>
    <n v="3220"/>
    <d v="2022-10-20T00:00:00"/>
    <d v="2025-09-30T00:00:00"/>
    <n v="1076"/>
    <n v="1"/>
    <n v="500000"/>
    <n v="0"/>
    <n v="0"/>
    <n v="500000"/>
    <n v="500000"/>
    <n v="0"/>
    <n v="500000"/>
    <s v="23FR322001"/>
    <s v="Local Health Authority (SFY 24: SNHD, NNPH; in SFY25 SNHD, NNPH, and training and media) Wellness Efforts- 5210"/>
    <s v="Objectives are to support wellness efforts statewide with selected local health authorities sharing 5-2-1-0 wellness content and some staffing support."/>
    <s v="Wellness efforts support health and decrease factors leading to chronic disease development and associated higher COVID-19 risk."/>
    <s v="This project is complete. Funded partners included KPS3, Southern Nevada Health District and Northern Nevada Health District, plus two state printing POs.  HealNV  and 5-2-1-0 activities are going to continue beyond the completion of the ARPA project - to do this, the PHHS block grant is supporting these efforts by writing 5-2-1-0 activities into the block grant scope of work for FFY26 and will use PHHS funds to continue hosting the healNV.com website. Additionally, the Wellness and Prevention Coordinator will continue to conduct quarterly 5-2-1-0 partner meetings where DPBH, all of the local health authorities, Carson Tahoe Health, and the NV chapter of the American Academy of Pediatrics meet to discuss promotion efforts, ideas, and share resources to help support 5-2-1-0 until another funding source can be established to further grow comprehensive statewide wellness strategies. DPBH initiated a Childhood Obesity Awareness month proclamation for September that highlights the importance of childhood obesity prevention and how the statewide 5-2-1-0 program can be used to mitigate obesity rates in children and prevent diet-related chronic illness. "/>
    <x v="0"/>
    <n v="500000"/>
    <m/>
    <n v="500000"/>
    <n v="435080.62999999995"/>
    <n v="64919.37"/>
    <n v="499999.99999999994"/>
    <n v="0.99999999999999989"/>
    <n v="0"/>
    <n v="500000"/>
    <n v="0"/>
    <n v="0"/>
    <s v="One Time Funding"/>
    <s v="Wellness efforts by two local health authorities continue."/>
    <n v="500000"/>
    <s v="No"/>
    <x v="0"/>
    <x v="1"/>
    <m/>
    <n v="0"/>
  </r>
  <r>
    <x v="2"/>
    <s v="22BBNTY01"/>
    <s v="CRG - Baby's Bounty Diaper Bank/Baby Bundles"/>
    <n v="3222"/>
    <d v="2022-04-01T00:00:00"/>
    <d v="2023-03-31T00:00:00"/>
    <n v="364"/>
    <n v="1"/>
    <n v="201802"/>
    <n v="0"/>
    <n v="0"/>
    <n v="201802"/>
    <n v="201802"/>
    <n v="0"/>
    <n v="201802"/>
    <s v="22FR322201"/>
    <s v="To provide child safety and wellness items for families living at or under 130% Federal Poverty Level in Clark County.  Baby bundles of needed diapering resources, car seats, and safe sleep environments are provided."/>
    <s v="Low income families receive safety, wellness, and diapering resources.  Car seats and safe sleep environments will prevent infant mortality."/>
    <s v="Families impacted by the pandemic economically and who are low income will be able to receive  life-saving and health promoting interventions they would otherwise not be able to afford."/>
    <s v="This project was previously successfully completed and was fully expended 3/2023."/>
    <x v="0"/>
    <n v="201802"/>
    <m/>
    <n v="201802"/>
    <n v="201802"/>
    <m/>
    <n v="201802"/>
    <n v="1"/>
    <n v="0"/>
    <n v="201802"/>
    <n v="0"/>
    <n v="0"/>
    <s v="Completed"/>
    <s v="Between 4/1/22 and 9/30/22, 13 diaper banks were held, each serving between 500-600 families and 397 Baby Bundles were distributed to families."/>
    <n v="201802"/>
    <s v="No"/>
    <x v="2"/>
    <x v="1"/>
    <m/>
    <n v="0"/>
  </r>
  <r>
    <x v="2"/>
    <s v="23NBSTR01"/>
    <s v="UNR NSPHL Newborn"/>
    <n v="3222"/>
    <d v="2022-10-20T00:00:00"/>
    <d v="2026-10-31T00:00:00"/>
    <n v="1472"/>
    <n v="0.70448369565217395"/>
    <n v="3953689"/>
    <n v="0"/>
    <n v="0"/>
    <n v="3953689"/>
    <n v="3953689"/>
    <n v="0"/>
    <n v="3953689"/>
    <s v="23FR322202"/>
    <s v="Funds support the addition of five new disorders on the newborn screening blood spot panel, as well as associated equipment and supplies to add those disorders, and implementation of an HL7 connection to selected state birthing hospitals."/>
    <s v="The objective of the funding is to ensure infants are screened for five additional disorders to ensure timely detection and treatment to prevent mortality and severe morbidity."/>
    <s v="Newborn screening prevents needless infant deaths and can reduce severity of health outcomes through timely treatment of rare conditions that otherwise would go undiagnosed and untreated."/>
    <s v="This project has successfully launched two new disorders (SMA and X-ALD) on the newborn screening blood spot panel, an additional three disorders over the term of the project are pending with Pompe next in line followed by other lysosomal disorders.  An amendment was done to move Personnel costs budgeted from January 1, 2025, onward into other costs to support the scope of work deliverables.  Recent meetings with the Nevada State Public Health Laboratory led to an updated spend plan and a quarterly meeting and discussion of a possible site visit date will be scheduled soon. A site visit was completed in July and no findings or corrective action were issued."/>
    <x v="1"/>
    <n v="3953689"/>
    <m/>
    <n v="3953689"/>
    <n v="1628592.1"/>
    <n v="398067.89"/>
    <n v="2026659.9900000002"/>
    <n v="0.51259974924684271"/>
    <n v="0"/>
    <n v="3953689"/>
    <n v="0"/>
    <n v="0"/>
    <s v="One Time Funding"/>
    <s v="Partial equipment purchases have been completed and testing in in process for X-ALD with an estimated launch date of late September."/>
    <s v="All of the award; newborn screening is an evidence based intervention."/>
    <s v="No"/>
    <x v="0"/>
    <x v="1"/>
    <m/>
    <n v="1927029.0099999998"/>
  </r>
  <r>
    <x v="2"/>
    <s v="22BHSTF01a"/>
    <s v="DPBH STAFFING for ARPA Reporting-SFY23"/>
    <n v="3223"/>
    <d v="2022-07-01T00:00:00"/>
    <d v="2026-06-30T00:00:00"/>
    <n v="1460"/>
    <n v="1"/>
    <n v="369823"/>
    <n v="587495"/>
    <n v="0"/>
    <n v="957318"/>
    <n v="552445"/>
    <n v="404873"/>
    <n v="552445"/>
    <s v="23FRF32231"/>
    <s v="Three interim full-time positions and one part-time contractor to assist with ARPA Fiscal Activity and Grant Reporting."/>
    <s v="The Division has received extraordinary amounts of federal COVID grant funds since the beginning of 2020. These positions  provided additional support to ensure implementation of all awards will not be delayed in SFY23."/>
    <s v="These positions assisted the division in redistributing the workload due to the continued impact of COVID-19.  It was critical that administrative staff be added to the public health workforce to perform daily work."/>
    <s v="Project complete"/>
    <x v="0"/>
    <n v="552445"/>
    <m/>
    <n v="552445"/>
    <n v="552445"/>
    <m/>
    <n v="552445"/>
    <n v="1"/>
    <m/>
    <n v="552445"/>
    <m/>
    <n v="0"/>
    <s v="Indirect cost and Cost Allocation."/>
    <s v="N/A"/>
    <s v="N/A"/>
    <s v="No"/>
    <x v="0"/>
    <x v="2"/>
    <m/>
    <n v="0"/>
  </r>
  <r>
    <x v="2"/>
    <s v="22BHCGM01"/>
    <s v="CONTRACT MANAGEMENT SYSTEM"/>
    <n v="3223"/>
    <d v="2022-05-05T00:00:00"/>
    <d v="2026-06-30T00:00:00"/>
    <n v="1517"/>
    <n v="0.79433091628213581"/>
    <n v="477606"/>
    <n v="0"/>
    <n v="0"/>
    <n v="477606"/>
    <n v="477606"/>
    <n v="0"/>
    <n v="477606"/>
    <s v="22FRF32231"/>
    <s v="To move to an electric contract management system that optimized the processes for all stakeholders."/>
    <s v="Implementation of a new electronic contracting management system will allow for efficient processing of all the new contracts needed for implementing the approved COVID initiatives."/>
    <s v="The electronic contract management system will optimize the processes for all stakeholders. It will allow the division to improve the contract process to increase overall effectiveness and efficiency."/>
    <s v="A project extension request was sent to the GFO for review and approval.  This request will extended the project into SFY25. An extension was requested and approved for this project to go through SFY.26"/>
    <x v="1"/>
    <n v="477606"/>
    <m/>
    <n v="477606"/>
    <n v="426004.2"/>
    <n v="810"/>
    <n v="426814.2"/>
    <n v="0.89365334606349167"/>
    <n v="0"/>
    <n v="477606"/>
    <n v="0"/>
    <n v="0"/>
    <s v="On going cost for the system will be Indirect cost and Cost Allocation."/>
    <s v="N/A"/>
    <s v="N/A"/>
    <s v="No"/>
    <x v="0"/>
    <x v="0"/>
    <m/>
    <n v="50791.799999999988"/>
  </r>
  <r>
    <x v="2"/>
    <s v="22BHSTF01b ($0 REPORTED ON GFO WORKBOOK)"/>
    <s v="Fiscal Staff - FY24"/>
    <n v="3223"/>
    <d v="2023-07-01T00:00:00"/>
    <d v="2026-06-30T00:00:00"/>
    <n v="1095"/>
    <n v="0.71506849315068488"/>
    <n v="0"/>
    <n v="0"/>
    <n v="0"/>
    <n v="0"/>
    <n v="0"/>
    <n v="0"/>
    <n v="284159"/>
    <s v="23FRF32231"/>
    <s v="Three interim full-time positions and one part-time contractor to assist with ARPA Fiscal Activity and Grant Reporting."/>
    <s v="The Division has received extraordinary amounts of federal COVID grant funds since the beginning of 2020. These positions will provide additional support to ensure implementation of all awards will not be delayed in SFY24."/>
    <s v="This budget revision and performance period extension request is to transfer $404,873 from 24INTFP01 to 22BHSTF01 and to extend the project through March 31, 2027. The division’s multiple ARPA projects are expected to continue through December 2026 with final reporting due by March 31, 2027. Continuation of the positions are needed to complete the work associated with the funding. Without the positions, division staff would be required to take on additional duties and current capacity does not allow for that."/>
    <s v="The DPBH and GFO are working together to extend this project through March 31, 2027. Additional funds are being transferred to support the extension. All funds for this project are projected to be fully utilized."/>
    <x v="1"/>
    <n v="284159"/>
    <m/>
    <n v="284159"/>
    <n v="150869.38"/>
    <n v="0"/>
    <n v="150869.38"/>
    <n v="0.53093296358728737"/>
    <n v="0"/>
    <n v="284159"/>
    <n v="-284159"/>
    <n v="0"/>
    <s v="Indirect cost and Cost Allocation."/>
    <s v="N/A"/>
    <s v="N/A"/>
    <s v="No"/>
    <x v="0"/>
    <x v="2"/>
    <m/>
    <n v="133289.62"/>
  </r>
  <r>
    <x v="2"/>
    <s v="22BHSTF01c"/>
    <s v="Fiscal Staff - FY25"/>
    <n v="3223"/>
    <d v="2024-07-01T00:00:00"/>
    <d v="2026-06-30T00:00:00"/>
    <n v="729"/>
    <n v="1"/>
    <n v="0"/>
    <n v="0"/>
    <n v="0"/>
    <n v="0"/>
    <n v="0"/>
    <n v="0"/>
    <n v="268286"/>
    <s v="23FRF32231"/>
    <s v="Three interim full-time positions and one part-time contractor to assist with ARPA Fiscal Activity and Grant Reporting."/>
    <s v="The Division has received extraordinary amounts of federal COVID grant funds since the beginning of 2020. These positions will provide additional support to ensure implementation of all awards will not be delayed in SFY25."/>
    <s v="This budget revision and performance period extension request is to transfer $404,873 from 24INTFP01 to 22BHSTF01 and to extend the project through March 31, 2027. The division’s multiple ARPA projects are expected to continue through December 2026 with final reporting due by March 31, 2027. Continuation of the positions are needed to complete the work associated with the funding. Without the positions, division staff would be required to take on additional duties and current capacity does not allow for that."/>
    <s v="The DPBH and GFO are working together to extend this project through March 31, 2027. Additional funds are being transferred to support the extension. All funds for this project are projected to be fully utilized."/>
    <x v="0"/>
    <n v="268286"/>
    <m/>
    <n v="268286"/>
    <n v="268286"/>
    <n v="0"/>
    <n v="268286"/>
    <n v="1"/>
    <n v="0"/>
    <n v="268286"/>
    <n v="-268286"/>
    <n v="0"/>
    <s v="Indirect cost and Cost Allocation."/>
    <s v="N/A"/>
    <s v="N/A"/>
    <s v="No"/>
    <x v="0"/>
    <x v="2"/>
    <m/>
    <n v="0"/>
  </r>
  <r>
    <x v="2"/>
    <s v="22BHSTF01d ($0 REPORTED ON GFO WORKBOOK)"/>
    <s v="Fiscal Staff - FY26"/>
    <n v="3223"/>
    <d v="2025-07-01T00:00:00"/>
    <d v="2026-06-30T00:00:00"/>
    <n v="364"/>
    <n v="0.14285714285714285"/>
    <n v="0"/>
    <n v="0"/>
    <n v="0"/>
    <n v="0"/>
    <n v="0"/>
    <n v="0"/>
    <n v="252976"/>
    <s v="23FRF32231"/>
    <s v="Three interim full-time positions and one part-time contractor to assist with ARPA Fiscal Activity and Grant Reporting."/>
    <s v="The Division has received extraordinary amounts of federal COVID grant funds since the beginning of 2020. These positions will provide additional support to ensure implementation of all awards will not be delayed in SFY26."/>
    <s v="This budget revision and performance period extension request is to transfer $404,873 from 24INTFP01 to 22BHSTF01 and to extend the project through March 31, 2027. The division’s multiple ARPA projects are expected to continue through December 2026 with final reporting due by March 31, 2027. Continuation of the positions are needed to complete the work associated with the funding. Without the positions, division staff would be required to take on additional duties and current capacity does not allow for that."/>
    <s v="The DPBH and GFO are working together to extend this project through March 31, 2027. Additional funds are being transferred to support the extension. All funds for this project are projected to be fully utilized."/>
    <x v="2"/>
    <n v="657849"/>
    <m/>
    <n v="657849"/>
    <n v="0"/>
    <n v="42092.35"/>
    <n v="42092.35"/>
    <n v="0.16638870881032192"/>
    <n v="404873"/>
    <n v="657849"/>
    <n v="-657849"/>
    <n v="0"/>
    <s v="Indirect cost and Cost Allocation."/>
    <s v="N/A"/>
    <s v="N/A"/>
    <s v="No"/>
    <x v="0"/>
    <x v="2"/>
    <m/>
    <n v="615756.65"/>
  </r>
  <r>
    <x v="2"/>
    <s v="24INTFP01"/>
    <s v="10 intermittent fiscal staff in L01 -  E226"/>
    <n v="3223"/>
    <d v="2023-07-01T00:00:00"/>
    <d v="2026-06-30T00:00:00"/>
    <n v="1095"/>
    <n v="0.71506849315068488"/>
    <n v="1730793"/>
    <n v="-824959"/>
    <n v="0"/>
    <n v="905834"/>
    <n v="1730793"/>
    <n v="-824959"/>
    <n v="1730793"/>
    <s v="23FRF32231"/>
    <s v="To support ten intermittent State FTEs to relieve the administrative burden of increased workloads of state, federal, and ARPA grant and fiscal management activities"/>
    <s v="These positions will provide adequate response-ready public health workforce implementation and will assist the division with redistributing DPBH’s workload due to COVID-19. "/>
    <s v="Project will continue with current funding stream and performance period ending 06/30/2026"/>
    <s v="The project ends June 30, 2026. Any remaining funds will be transferred to the DPBH Jail Based program and the 22BHSTF01 project (Fiscal staff in BA 3223)."/>
    <x v="1"/>
    <n v="945797"/>
    <m/>
    <n v="945797"/>
    <n v="912143.67"/>
    <n v="0"/>
    <n v="912143.67"/>
    <n v="0.52700910507495702"/>
    <n v="-784996"/>
    <n v="945797"/>
    <n v="784996"/>
    <n v="0"/>
    <s v="One Time Funding"/>
    <s v="N/A"/>
    <s v="N/A"/>
    <s v="No"/>
    <x v="0"/>
    <x v="2"/>
    <m/>
    <n v="33653.329999999958"/>
  </r>
  <r>
    <x v="2"/>
    <s v="23RHSCC01"/>
    <s v="Comprehensive Reproductive Health Services "/>
    <n v="3224"/>
    <d v="2023-01-01T00:00:00"/>
    <d v="2026-12-31T00:00:00"/>
    <n v="1460"/>
    <n v="0.66027397260273968"/>
    <n v="6446148"/>
    <n v="0"/>
    <n v="0"/>
    <n v="6446148"/>
    <n v="6446148"/>
    <n v="0"/>
    <n v="6446148"/>
    <s v="23FRF32241"/>
    <s v="Support reproductive health services for Community Health Services, Carson City Health and Human Services, Northern Nevada Health District and Central Nevada Health District. "/>
    <s v="Supports family planning  activities not fully funded by Title X in rural Nevada, Washoe County and Carson City. "/>
    <s v="Continue to provide family planning and reproductive health services to underserved and uninsured communities outside of Clark County. "/>
    <s v="ARPA funding supports reproductive health services under Community Health Nursing (CHN) and CHN subgrants to three other reproductive health service programs, Carson City Health and Human Services (CCHHS), Central Nevada Health District (CNHD), and Northern Nevada Public Health (NNPH). "/>
    <x v="2"/>
    <n v="6446148"/>
    <m/>
    <n v="6446148"/>
    <n v="2588254.36"/>
    <n v="280242.98"/>
    <n v="2868497.34"/>
    <n v="0.44499402433825597"/>
    <n v="0"/>
    <n v="6446148"/>
    <n v="0"/>
    <n v="0"/>
    <s v="Title X award is partially funded at 40% of current grant period (4/1/24 -3/31/25)."/>
    <m/>
    <m/>
    <s v="No"/>
    <x v="0"/>
    <x v="1"/>
    <m/>
    <n v="3577650.66"/>
  </r>
  <r>
    <x v="2"/>
    <s v="23HCWSS02"/>
    <s v="Health Care Workforce Scholarships and Staff Support"/>
    <n v="3234"/>
    <d v="2023-06-14T00:00:00"/>
    <d v="2026-12-31T00:00:00"/>
    <n v="1296"/>
    <n v="0.61728395061728392"/>
    <n v="5494300"/>
    <n v="0"/>
    <n v="0"/>
    <n v="5494300"/>
    <n v="5494300"/>
    <n v="0"/>
    <n v="5494300"/>
    <s v="24FRF32341"/>
    <s v="Fund Scholarships to increase the State's health care workforce and provide contract support staff."/>
    <s v="$4,795,725 for Health Care Workforce Scholarships to include Community Health Workers, Clinical Rotations, Doulas, Medical Assistants, and Training Scholarships. $112,000 for J-1 Visa Scholarships will be administered directly by DPBH. $586,575 for contractual line items will be retained by DPBH."/>
    <s v="Allows for increased efficiency to increased public health impact from COVID-19. Will continuously assess DHHS workforce needs to hire staff as necessary"/>
    <s v="Currently have given out a total of 23 Scholarships for both the Spring 2025 and Fall 2025 rounds of funding. Healthy Communities Coalition- In total have had 87 applications with 80 accepted. Current running total for all certifications completed is 33 CHW I, 3 CHW II. UNR Integration- New group of 2nd year students. 4 Student Ambassadors completed their CHW I certification, bringing the total number of eligible CHW I student ambassadors to 6. UNR CASAT- The next cohort will begin October 2025."/>
    <x v="2"/>
    <n v="5494300"/>
    <m/>
    <n v="5494300"/>
    <n v="985608.00000000012"/>
    <n v="768055.2"/>
    <n v="1753663.2000000002"/>
    <n v="0.31917863968112409"/>
    <n v="0"/>
    <n v="5494300"/>
    <n v="0"/>
    <n v="0"/>
    <s v="One Time Funding"/>
    <s v="N/A"/>
    <s v="N/A"/>
    <s v="No"/>
    <x v="0"/>
    <x v="2"/>
    <m/>
    <n v="3740636.8"/>
  </r>
  <r>
    <x v="2"/>
    <s v="23IBCLC02"/>
    <s v="International Board Certified Lactation Consultants "/>
    <n v="3234"/>
    <d v="2023-06-15T00:00:00"/>
    <d v="2026-12-31T00:00:00"/>
    <n v="1295"/>
    <n v="0.616988416988417"/>
    <n v="666000"/>
    <n v="0"/>
    <n v="0"/>
    <n v="666000"/>
    <n v="0"/>
    <n v="666000"/>
    <n v="666000"/>
    <s v="24FRF32342"/>
    <s v="Funding to train lactation consultants"/>
    <s v="RFA released December 29, 2023, to subaward $666,000 for Lactation Consultants. Funding determinations will be made by February 27, 2024, with subawards to be issued thereafter for a project period of March 1, 2024 – November 30, 2026.  "/>
    <s v="Allows for increased efficiency to increased public health impact from COVID-19. Will continuously assess DHHS workforce needs to hire staff as necessary"/>
    <s v="19 scholarships were distributed from January 7, 2025, to May 1, 2025. 4 people have completed their training. One person has completed their certification. The other 3 people will be taking their certification exam in July. All 34 awardees are still in process of completing their courses. Currently trying to secure another hospital location for mentees in Southern Nevada. 7/24/2025 UNLV 19 scholarship recipients."/>
    <x v="2"/>
    <n v="666000"/>
    <m/>
    <n v="666000"/>
    <n v="131074.91"/>
    <n v="31178.54"/>
    <n v="162253.45000000001"/>
    <n v="0.24362379879879881"/>
    <n v="0"/>
    <n v="666000"/>
    <n v="-666000"/>
    <n v="0"/>
    <s v="One Time Funding"/>
    <s v="N/A"/>
    <s v="N/A"/>
    <s v="No"/>
    <x v="0"/>
    <x v="2"/>
    <m/>
    <n v="503746.55"/>
  </r>
  <r>
    <x v="2"/>
    <s v="22LCSFD01"/>
    <s v="LAKES CROSSING - FOOD SERVICE"/>
    <n v="3645"/>
    <d v="2022-06-21T00:00:00"/>
    <d v="2022-06-30T00:00:00"/>
    <n v="9"/>
    <n v="1"/>
    <n v="107270"/>
    <n v="14295.5"/>
    <n v="0"/>
    <n v="121565.5"/>
    <n v="107270"/>
    <n v="14295.5"/>
    <n v="107270"/>
    <s v="22FRF36451"/>
    <s v="The Lakes Crossing Center Food Category"/>
    <s v="This project provided funding as it relates to food expenditures for the clients at Lakes Crossing Center"/>
    <s v="N/A"/>
    <s v="Academics: eight students have completed their respective programs. Four advanced certificate, three PSS, and one practicum placement. UNLV BeHere Scholars- 152 applications received for the Advanced Scholarship; 35 were eligible for review. Nevada Primary Care Association (NVPCA)- 6 preceptors received certificates of completion since January 2025. In addition to the paid medical assistant learner seat, we have provided the following stipends to health centers to support their program. Each stipend is half of the total amount per learner. The second half will be provided when each learner completes the program. 7/24/2025 Health Communities Coalition 34 scholarship recipients. 3 CHW II, 11 in progress for CHW II. UNR Larson 20 scholarship recipients CHW, 20 scholarship applicants accepted, 9 English Doula, 10 Spanish Doula scholarship recipients. UNR integration 11 CHW and 11 Medical Students and 1 preceptor participated in last ROC. Nevada Primary Care Association 4 health centers are currently participating with each having trained 6 preceptors. 3 MA trainees received certificates. 1 scholarship was distributed last quarter. High Sierra AHEC 13 scholarships. Total of 23 Scholarships given out for Spring and Fall 2025. UNR CASAT 64 scholarship recipients. UNLV BeHere 12 scholarship recipients. UNR Resilience Total of 3 - 2 MPH students and 1 certificate program student 2 - Online MPH, 1 Certificate program."/>
    <x v="0"/>
    <n v="92974.5"/>
    <m/>
    <n v="92974.5"/>
    <n v="92974.5"/>
    <m/>
    <n v="92974.5"/>
    <n v="0.86673347627482056"/>
    <n v="-14295.5"/>
    <n v="92974.5"/>
    <n v="14295.5"/>
    <n v="0"/>
    <s v="Complete"/>
    <s v="N/A"/>
    <s v="N/A"/>
    <s v="No"/>
    <x v="3"/>
    <x v="4"/>
    <m/>
    <n v="0"/>
  </r>
  <r>
    <x v="2"/>
    <s v="23LCCMS01"/>
    <s v="Lakes Crossing Camera System"/>
    <n v="3645"/>
    <d v="2022-08-18T00:00:00"/>
    <d v="2025-12-31T00:00:00"/>
    <n v="1231"/>
    <n v="0.89358245329000807"/>
    <n v="1462644"/>
    <n v="0"/>
    <n v="0"/>
    <n v="1462644"/>
    <n v="1462644"/>
    <n v="0"/>
    <n v="1462644"/>
    <s v="23FRF36451"/>
    <s v="This project upgrades the camera system and control room. "/>
    <s v="This project upgrades and expands the existing camera control system along with structural changes to aid in the security and increased observation of high acuity clients."/>
    <s v="N/A"/>
    <s v="The Video Surveillance and Access Control project is nearing completion, with Closeout Documents planned for May 2, 2025. However, the Final Inspection is to be determined as there are multiple items that have been delayed or needed correction or troubleshooting from the initial Punch Walk. The Test and Balance was completed on 4/1/2025 and received verbal approval, still awaiting the report. HMI/PCL completion is still being worked on with project completion unknown at this time. Troubleshooting for the Duress system is in progress to determine a cause of malfunction/defective receivers. Light fixtures for the Chart Room are awaiting shipment, which was delayed, and we are awaiting shipping confirmation for 3 cameras to be installed in identified blind spots. Workstations for the Lieutenant and Nursing office are pending delivery with no confirmed received date.  A request to extend the performance was submitted to the ARPA team, and approved, to provide additional time to complete final project tasks."/>
    <x v="1"/>
    <n v="1462644"/>
    <m/>
    <n v="1462644"/>
    <n v="1009781.7799999999"/>
    <n v="0"/>
    <n v="1009781.7799999999"/>
    <n v="0.69038110435622058"/>
    <n v="0"/>
    <n v="1462644"/>
    <n v="0"/>
    <n v="0"/>
    <s v="One Time Project"/>
    <s v="N/A"/>
    <s v="N/A"/>
    <s v="Yes"/>
    <x v="3"/>
    <x v="0"/>
    <m/>
    <n v="452862.22000000009"/>
  </r>
  <r>
    <x v="2"/>
    <s v="24FRPOS01"/>
    <s v="Forensic Professional Services - Lake Crossing"/>
    <n v="3645"/>
    <d v="2023-12-13T00:00:00"/>
    <d v="2026-12-31T00:00:00"/>
    <n v="1114"/>
    <n v="0.55475763016157986"/>
    <n v="4920000"/>
    <n v="-1404094"/>
    <n v="0"/>
    <n v="3515906"/>
    <n v="4920000"/>
    <n v="-1404094"/>
    <n v="4920000"/>
    <s v="24FRF36452"/>
    <s v="Funding to hire additional professional staff to provide evaluations at Lake's Crossing Center and Stein"/>
    <s v="This project provides funding to allow forensic facilities to bolster their inpatient and outpatient programs to decrease waitlist."/>
    <s v="N/A"/>
    <s v="Recruitment efforts continue to fill the specialized clinical positions required for forensic services. To date we have hired 17 clinical staff under ARPA funds who are active in client treatment and restoration. Contract professional staff will continue to expand forensic services as funding allows.  "/>
    <x v="2"/>
    <n v="4260000"/>
    <m/>
    <n v="4260000"/>
    <n v="1238380.5699999998"/>
    <n v="182475.87"/>
    <n v="1420856.44"/>
    <n v="0.28879195934959351"/>
    <n v="-660000"/>
    <n v="4260000"/>
    <n v="660000"/>
    <n v="0"/>
    <s v="Budget Request"/>
    <s v="N/A"/>
    <s v="N/A"/>
    <s v="No"/>
    <x v="0"/>
    <x v="4"/>
    <m/>
    <n v="2839143.56"/>
  </r>
  <r>
    <x v="2"/>
    <s v="23CYRMC01"/>
    <s v="DPBH - Children and Youth Rural Mobile Crisis Response Team"/>
    <n v="3648"/>
    <d v="2022-10-20T00:00:00"/>
    <d v="2025-09-30T00:00:00"/>
    <n v="1076"/>
    <n v="0.96375464684014867"/>
    <n v="572381"/>
    <n v="0"/>
    <n v="0"/>
    <n v="572381"/>
    <n v="572381"/>
    <n v="0"/>
    <n v="572381"/>
    <s v="23FRF36481"/>
    <s v="To expand, sustain and improve the current Rural Mobile Crisis Response Team by aligning with statewide efforts related to 988, the National Crisis Now Model and the Medicaid Expansion Mobile Crisis Planning Grant.  The ARPA funds awarded will provide funding for a pilot project for a 27-month period (through 12/31/24), which will provide two in-person, peer lead mobile crisis response teams in Elko County. The pilot project will allow Rural Clinics to assess if this type of service could be sustainable in rural communities.  The ARPA funding will provide for 2 contract Consumer Services Assistants (peer support) and 2 contract Psychiatric Case Managers.  These positions would allow for 2 in-person teams available to respond.  Cell phones and iPads will be part of the team’s equipment and will allow the families to sign consent forms via DocuSign as well as connect with the crisis clinician via telehealth.  The project has not officially started, Rural Clinics is in the process of obtaining quotes to order iPad and cell phones needed for the team.  The 4 positions will be filled with temp employees once the equipment is received. "/>
    <s v="The entire population of children and youth in Nevada were exposed to behavioral stressors due to the pandemic.  Due to this increased pressure on our health care and behavioral health systems, more children, youth, families and adults had unmet behavioral health needs across Nevada’s communities and youth were lingering in emergency departments for long periods of time due to overcrowded higher levels of care.  There was also increase pressures within child welfare and juvenile justice systems.  Mobile Crisis funds are helping youth and families to access to 24/7 mental health crisis care. "/>
    <s v="Currently, along with the above concerns, there is a cost of unemployment due to a youth’s behavioral healthcare needs.   Currently there are no in-person crisis response services in Elko County.  This pilot program, funded through ARPA monies, provides an opportunity to build crisis services that would qualify for the Medicaid Expansion reimbursement rate and in-turn help build more robust response and stabilization services to help combat the increased pressure on the behavioral health system due to the pandemic.  Currently, this program includes (Michelle – please indicate the staffing purchased with these funds) "/>
    <s v="This project ran successfully from April 2023-June 2025.  Data shows mobile crisis calls in Elko County increased 51.7% since the pilot program started in April 2023, as compared to the same time frame from the prior year. "/>
    <x v="3"/>
    <n v="572381"/>
    <m/>
    <n v="572381"/>
    <n v="571406.38"/>
    <n v="290.98"/>
    <n v="571697.36"/>
    <n v="0.99880562073164547"/>
    <n v="0"/>
    <n v="572381"/>
    <n v="0"/>
    <n v="0"/>
    <s v="Medicaid will be billed when possible for the crisis services and a budget enhancement will be requested."/>
    <s v="N/A"/>
    <n v="0"/>
    <s v="No"/>
    <x v="1"/>
    <x v="4"/>
    <m/>
    <n v="683.64000000001397"/>
  </r>
  <r>
    <x v="2"/>
    <s v="23LRHA01d"/>
    <s v="Local &amp; Regional Authorities SNHD"/>
    <s v="3223/34"/>
    <d v="2022-08-17T00:00:00"/>
    <d v="2026-12-31T00:00:00"/>
    <n v="1597"/>
    <n v="1"/>
    <n v="5500000"/>
    <n v="0"/>
    <n v="0"/>
    <n v="5500000"/>
    <n v="5500000"/>
    <n v="0"/>
    <n v="5500000"/>
    <s v="23FRF32232"/>
    <s v="Southern Nevada Health District staff and operations reimbursement"/>
    <s v="This funding will be used to cover 12-months of revenue to support the staff salary and fringe to offer environmental health services in Clark County."/>
    <s v="These investments will better allow each public health agency to continue to support the COVID response and recovery and position themselves to be better equipped to handle other public health needs in the coming years."/>
    <s v="Project complete"/>
    <x v="0"/>
    <n v="5500000"/>
    <m/>
    <n v="5500000"/>
    <n v="5446133.7300000004"/>
    <m/>
    <n v="5446133.7300000004"/>
    <n v="0.99020613272727276"/>
    <m/>
    <n v="5500000"/>
    <n v="0"/>
    <n v="0"/>
    <s v="Budget Request"/>
    <s v="N/A"/>
    <s v="N/A"/>
    <s v="No"/>
    <x v="2"/>
    <x v="2"/>
    <m/>
    <n v="53866.269999999553"/>
  </r>
  <r>
    <x v="2"/>
    <s v="23LRHA01a"/>
    <s v="Local &amp; Regional Authorities Washoe "/>
    <s v="3223/34"/>
    <d v="2022-08-17T00:00:00"/>
    <d v="2026-12-31T00:00:00"/>
    <n v="1597"/>
    <n v="0.68941765810895428"/>
    <n v="10000000"/>
    <n v="0"/>
    <n v="0"/>
    <n v="10000000"/>
    <n v="10000000"/>
    <n v="0"/>
    <n v="10000000"/>
    <s v="23FRF32232"/>
    <s v="Northern Nevada Public Health design and construction of a Tuberculosis Clinic"/>
    <s v="Funding will support the design and construction of a Tuberculosis Clinic, and other Public Health or Community and Clinical Health Services offices to serve the residents of Washoe County."/>
    <s v="These investments will better allow each public health agency to continue to support the COVID response and recovery and position themselves to be better equipped to handle other public health needs in the coming years."/>
    <s v="Project is currently on time and on budget for the Tuberculosis Clinic with Certificate of Operation set for January 2026 and patients being served by February 2026."/>
    <x v="2"/>
    <n v="10000000"/>
    <m/>
    <n v="10000000"/>
    <n v="1872802.62"/>
    <n v="882491.93"/>
    <n v="2755294.5500000003"/>
    <n v="0.27552945500000003"/>
    <n v="0"/>
    <n v="10000000"/>
    <n v="0"/>
    <n v="0"/>
    <s v="Budget Request"/>
    <s v="N/A"/>
    <s v="N/A"/>
    <s v="Yes"/>
    <x v="3"/>
    <x v="0"/>
    <m/>
    <n v="7244705.4499999993"/>
  </r>
  <r>
    <x v="2"/>
    <s v="23LRHA01b"/>
    <s v="Local &amp; Regional Authorities Carson "/>
    <s v="3223/34"/>
    <d v="2022-08-17T00:00:00"/>
    <d v="2026-12-31T00:00:00"/>
    <n v="1597"/>
    <n v="0.68941765810895428"/>
    <n v="3700000"/>
    <n v="0"/>
    <n v="0"/>
    <n v="3700000"/>
    <n v="3700000"/>
    <n v="0"/>
    <n v="3700000"/>
    <s v="23FRF32232"/>
    <s v="Carson City Health and Human Services to increase staff capacity and address growing community health needs."/>
    <s v="Enhance Carson City Health and Human Services (CCHHS) public health workforce infrastructure by hiring personnel to perform duties needed to increase public health services to the residents served by CCHHS."/>
    <s v="These investments will better allow each public health agency to continue to support the COVID response and recovery and position themselves to be better equipped to handle other public health needs in the coming years."/>
    <s v="The following positions have been filled in September 2024: Fiscal Analyst, Mosquito Abatement Personnel, and Public Health Nurse. The Data Analyst and Assessment Coordinator has been retained. 4/2/2025 All positions have been retained except environmental specialist, shared on NVhealthforce.org to help fill those positions."/>
    <x v="2"/>
    <n v="3700000"/>
    <m/>
    <n v="3700000"/>
    <n v="664928.80000000005"/>
    <n v="284066.55"/>
    <n v="948995.35000000009"/>
    <n v="0.25648522972972976"/>
    <n v="0"/>
    <n v="3700000"/>
    <n v="0"/>
    <n v="0"/>
    <s v="Budget Request"/>
    <s v="N/A"/>
    <s v="N/A"/>
    <s v="No"/>
    <x v="1"/>
    <x v="2"/>
    <m/>
    <n v="2751004.65"/>
  </r>
  <r>
    <x v="2"/>
    <s v="23LRHA01c"/>
    <s v="Local &amp; Regional Authorities Churchill"/>
    <s v="3223/34"/>
    <d v="2022-08-17T00:00:00"/>
    <d v="2026-12-31T00:00:00"/>
    <n v="1597"/>
    <n v="0.68941765810895428"/>
    <n v="1600000"/>
    <n v="0"/>
    <n v="0"/>
    <n v="1600000"/>
    <n v="1600000"/>
    <n v="0"/>
    <n v="1600000"/>
    <s v="23FRF32232"/>
    <s v="Central Nevada Health District formation and Satellite Public Health Laboratory"/>
    <s v="Central Nevada Health District will facilitate construction activities to establish a new building that will house a satellite public health laboratory, and provide public health services to residents in central Nevada."/>
    <s v="These investments will better allow each public health agency to continue to support the COVID response and recovery and position themselves to be better equipped to handle other public health needs in the coming years."/>
    <s v="The remaining $600k (37.62% of funds) is for remodeling of the new CNHD facility. Architect is drawing remodel plans and obtaining engineering evaluation. Approximately 95% of the architectural drawings are completed.  Expenses are planned to resume April/May 2024 once architect has completed work. CCSS goal is building will be completed in next 12 months. A quarterly spend-plan has been requested and will receive monthly updates starting April 2024. 10/5/2024: In August 2024 CNHD Administrator provided feedback on drawings. Architects met with City of Fallon on requirements and permitting to be included. TOPO Surveying as required for project, engaged contractor for asbestos testing, scheduled opening of walls for architect to complete structural inspection on 8/15/24 with architects. Rehabilitation and timelines for lab have been complete and an updated testing menu has been determined. SOW will be updated to reflect CCSS and CNHD co-location upon GFO approval. 4/2/2025 Recent request to GFO to update the Scope. Proceed with the colocation of the Central Nevada Health District (CNHD) and the Public Health Laboratory. Ensure relocation of Churchill County Social Services from the site proposed for the CNHD/lab by acquiring buildings in another location."/>
    <x v="1"/>
    <n v="1600000"/>
    <m/>
    <n v="1600000"/>
    <n v="1225129.2"/>
    <n v="5572.64"/>
    <n v="1230701.8399999999"/>
    <n v="0.76918864999999992"/>
    <n v="0"/>
    <n v="1600000"/>
    <n v="0"/>
    <n v="0"/>
    <s v="Budget Request"/>
    <s v="N/A"/>
    <s v="N/A"/>
    <s v="Yes"/>
    <x v="1"/>
    <x v="0"/>
    <m/>
    <n v="369298.16000000015"/>
  </r>
  <r>
    <x v="3"/>
    <s v="22MEDEX01"/>
    <s v="MEDICAID ELIGIBILITY SYSTEM MOD'S (EX-PARTE)"/>
    <n v="3228"/>
    <d v="2022-04-08T00:00:00"/>
    <d v="2023-10-31T00:00:00"/>
    <n v="571"/>
    <n v="1"/>
    <n v="3960000"/>
    <n v="0"/>
    <n v="0"/>
    <n v="3960000"/>
    <n v="3960000"/>
    <n v="0"/>
    <n v="3960000"/>
    <s v="22FRF32281"/>
    <s v="The project includes modifying the current Medicaid renewal process to support ex-part renewal, also known as, auto renewal, passive renewal or administrative renewal."/>
    <s v="N/A"/>
    <s v="N/A"/>
    <s v="Project complete"/>
    <x v="0"/>
    <n v="3960000"/>
    <m/>
    <n v="3960000"/>
    <n v="3960000"/>
    <n v="0"/>
    <n v="3960000"/>
    <n v="1"/>
    <n v="0"/>
    <n v="3960000"/>
    <n v="0"/>
    <n v="0"/>
    <s v="One Time Funding"/>
    <n v="0"/>
    <n v="0"/>
    <s v="No"/>
    <x v="0"/>
    <x v="0"/>
    <m/>
    <n v="0"/>
  </r>
  <r>
    <x v="3"/>
    <s v="23ACNVM01"/>
    <s v="ACCESS NEVADA MODERNIZATION - NWD"/>
    <n v="3228"/>
    <d v="2022-10-20T00:00:00"/>
    <d v="2026-12-31T00:00:00"/>
    <n v="1533"/>
    <n v="0.67645140247879976"/>
    <n v="3112296"/>
    <n v="9387704"/>
    <n v="0"/>
    <n v="12500000"/>
    <n v="12500000"/>
    <n v="0"/>
    <n v="12500000"/>
    <s v="23FRF32284"/>
    <s v="This project provides modernization to the legacy Access Nevada on-premises infrastructure to a cloud-based solution that will result in a single web portal platform for the No Wrong Door (NWD) solution. The NWD solution is envisioned to embrace the “no wrong door” approach by providing the Department of Health and Human Services (DHHS) clientele, across all five (5) divisions, a single web portal to apply for assistance, as well as view case information and self-report demographic and life events changes. The portal, housed within the Division of Welfare and Supportive Services (DWSS), will allow an individual to complete a short pre-screener questionnaire to discover what services may be available, apply for specific programs and automatically route the applicant’s case information to the appropriate DHHS agency office(s) where the appropriate Division program staff will provide eligibility determinations or other appropriate services and supports."/>
    <s v="N/A"/>
    <s v="N/A"/>
    <s v="No Wrong Door Project Green status:  All funding is projected to be expended by June 30, 2026.  All fund obligated will be spent with in the contract of this project.  Current M&amp;O efforts include regular weekly meetings to address Change Request 10 which updates Access Nevada with 6 additional languages. All development has been completed and UAT testing is currently moving through 75% tested on track for planned promote activities. Additional automation tools in UAT have been deployed to allow for more comprehensive regression testing. ACNE-Live M&amp;O.  All funding is projected to be expended by June 30, 2026.  _x000a__x000a_. "/>
    <x v="4"/>
    <n v="12500000"/>
    <m/>
    <n v="12500000"/>
    <n v="8010429.7699999996"/>
    <n v="141685.34"/>
    <n v="8152115.1099999994"/>
    <n v="0.65216920879999996"/>
    <n v="0"/>
    <n v="12500000"/>
    <n v="0"/>
    <n v="0"/>
    <s v="One Time Funding for Development and Maintenance &amp; Operation is a Budget Request"/>
    <n v="0"/>
    <n v="0"/>
    <s v="No"/>
    <x v="0"/>
    <x v="0"/>
    <s v="May 2025 Monthly Project Update: EP-10126 - No Wrong Door_x000a_Status: Green_x000a__x000a_In May, we focused on prioritizing remaining UAT enhancements for future M&amp;O promotions, with a successful production promote addressing 10 bugs on May 16. CR10, including additional languages, saw Propio delivering translations on May 23, 2025, and SIT deliverables approved by DWSS OPS with an expedited request to address missing translations, ensuring no timeline impact._x000a__x000a_The M&amp;O Month 4 report is expected by EOD; meanwhile, the DWSS Privacy Policy has been updated, awaiting further division input before production updates. Additionally, the Inter-Tribal Council of Nevada WIC has shown interest in joining the application process."/>
    <n v="4347884.8900000006"/>
  </r>
  <r>
    <x v="3"/>
    <s v="23NOMAD01a"/>
    <s v="NOMADS UPDATE - CONTRACTS - MAINFRAME MODERNIZATION"/>
    <n v="3228"/>
    <d v="2022-10-20T00:00:00"/>
    <d v="2026-12-31T00:00:00"/>
    <n v="1533"/>
    <n v="0.67645140247879976"/>
    <n v="17309680"/>
    <n v="31200648"/>
    <n v="0"/>
    <n v="48510328"/>
    <n v="48510328"/>
    <n v="0"/>
    <n v="48510328"/>
    <s v="23FRF32281"/>
    <s v="NOMADS application currently has many components on the State's mainframe hardware. This project will remove the remaining 25-year-old NOMADS components from the mainframe and place them on DWSS's modern platforms using modern program languages. This modernization will allow DWSS to be more agile and responsive to the critical needs of our customers."/>
    <s v="N/A"/>
    <s v="N/A"/>
    <s v="Mainframe Modernization - Status Green: Funds have been obligated and currently being expensed per the approved project delivery contract with vendor. Currently Phase I is complete and maintenance and operation efforts are correcting production defects in preparation for Phase II which was delivered from SIT testing by Deloitte and is activity developed and being prepared for DSS UAT testing starting in September 2025. Phase II is on track as planned. Phase III has begun its parallel planning cycle with the vendor to address decommissioning efforts which will take place in June of 2026. Contract Extension being submitted for approval to address Production Support Phase II, Phase III for 6 months to stabilize batches, payments, Federal interface validation and decommissioning of NOMADS through 12/30/2026. All funding is projected to be expended by December 30, 2026 upon approval of contract extension. _x000a__x000a__x000a_"/>
    <x v="5"/>
    <n v="48510328"/>
    <m/>
    <n v="48510328"/>
    <n v="20163413.870000001"/>
    <n v="3841339.04"/>
    <n v="24004752.91"/>
    <n v="0.49483798398559581"/>
    <n v="0"/>
    <n v="48510328"/>
    <n v="0"/>
    <n v="0"/>
    <s v="One Time Funding for Development and Maintenance &amp; Operation is a Budget Request"/>
    <n v="0"/>
    <n v="0"/>
    <s v="No"/>
    <x v="0"/>
    <x v="0"/>
    <s v="The Mainframe Modernization project is currently in a green status. Phase I (EP-10149) was completed in January 2025. Scheduled promotions include a release on June 13, 2025, addressing eight bug fixes, and a carry-forward emergency release set for May 30, 2025, with M&amp;O anticipated to conclude on June 30, 2026. Phase II (EP-10223) is currently in development, focusing on SIT and UAT environment upgrades, involving DWSS Ops and Deloitte. The project has seen the onboarding of Deloitte CA workload consultants, completion of quarterly region refreshes by the DBA team, and CA workload training for OPS, DBA, and UAT teams. A DSD release is scheduled for May 30, 2025, with SIT expected to begin in July 2025, early UAT in September 2025, and production slated for January 2026. Meanwhile, a UAT testing freeze is in place for other projects. Phase III is pending and will include a database migration to AMPS and decommissioning of NOMADS, performed by the DBA and Ops teams, after June 2026. Project is anticipated to  be completed by calendar 2026 year end."/>
    <n v="24505575.09"/>
  </r>
  <r>
    <x v="3"/>
    <s v="23YTHHM01"/>
    <s v="YOUTH HOMELESSNESS STUDY"/>
    <n v="3233"/>
    <d v="2022-10-20T00:00:00"/>
    <d v="2024-10-19T00:00:00"/>
    <n v="730"/>
    <n v="1"/>
    <n v="500000"/>
    <n v="0"/>
    <n v="0"/>
    <n v="500000"/>
    <n v="500000"/>
    <n v="0"/>
    <n v="500000"/>
    <s v="23FRF32331"/>
    <s v="The funding request for $500,000 ( $250,000 per year for two years) will cover the cost of researchers, incentives and research tools to conduct a statewide one-time study on youth homelessness which will explicitly include LGBTQ+ youth. The study will be designed to understand the prevalence, characteristics and intervention needs of youth experiencing homelessness, the current system supports and financial structure, and the system gaps that need to be addressed to better serve Nevada’s youth. The need to serve Nevada’s youth experiencing homelessness was highlighted by the pandemic as issues facing these youth were increased and services available were more difficult to access."/>
    <s v="N/A"/>
    <s v="N/A"/>
    <s v="The environmental scan and study design, the Preliminary Statewide System Map with county profiles and the final report have been completed. The final report has been posted to the Division's website. The project contracted ended June 30, 2025."/>
    <x v="0"/>
    <n v="500000"/>
    <m/>
    <n v="500000"/>
    <n v="500000"/>
    <n v="0"/>
    <n v="500000"/>
    <n v="1"/>
    <n v="0"/>
    <n v="500000"/>
    <n v="0"/>
    <n v="0"/>
    <s v="One Time Funding"/>
    <n v="0"/>
    <n v="0"/>
    <s v="No"/>
    <x v="0"/>
    <x v="3"/>
    <s v="It is anticipated that the entire amount will be expended. The new service agreement (1/1/2024-06/30/2025) was approved at BOE in February. The Homeless Youth Study project is completing key activities timely and in accordance with the scope of work. Currently, the project is on track to be completed by the end of the new service agreement (06/30/2025). The core team, steering committee, study design committee have been established and are meeting on a regular basis. A website was developed and launched. The environmental scan and study design has been finalized. The initial site visits and Preliminary Statewide System Map with county profiles have been completed. The final data collection took place in early 2025 and the draft of the final report has been reviewed and the suggested changes are now being incorporated into the final document._x000a_Project is anticipated to  be completed by state fiscal 2025 year end."/>
    <n v="0"/>
  </r>
  <r>
    <x v="3"/>
    <s v="22ELYCP01"/>
    <s v="CRG - Ely Co-op Magic Carpet Preschool"/>
    <n v="3267"/>
    <d v="2022-04-07T00:00:00"/>
    <d v="2024-02-29T00:00:00"/>
    <n v="693"/>
    <n v="1"/>
    <n v="44280"/>
    <n v="0"/>
    <n v="0"/>
    <n v="44280"/>
    <n v="44280"/>
    <n v="0"/>
    <n v="44280"/>
    <s v="23FRF32232"/>
    <s v="The ARPA award will be sub-awarded to the Ely Co-Op Preschool (aka, Magic Carpet Preschool) to perform all work/services. Magic Carpet Preschool is the only licensed preschool in the area that is not income based and meets a critical need for local families. This funding will facilitate the provision of child care services to up to 48 students ages 2.5 - 6 years, from all ethnic backgrounds, including the Ely Shoshone tribe. "/>
    <s v="This request supports the Governor's objective of improving child care across Nevada. The objective is to help the Magic Carpet Preschool, which is situated in a very rural area of Nevada, so the facility can increase enrollment from 35 to their licensed capacity of 48 students. "/>
    <s v="DWSS Child Care and Development Program completed an on-site monitor of the Ely subaward in June 2024 to ensure compliance with the project scope of work and to ensure it met the intent of the awarded funds."/>
    <s v="Ely Co-op Magic Carpet Preschool has utilized their full award."/>
    <x v="0"/>
    <n v="44280"/>
    <m/>
    <n v="44280"/>
    <n v="44280"/>
    <n v="0"/>
    <n v="44280"/>
    <n v="1"/>
    <n v="0"/>
    <n v="44280"/>
    <n v="0"/>
    <n v="0"/>
    <s v="One Time Funding"/>
    <n v="0"/>
    <n v="0"/>
    <s v="No"/>
    <x v="1"/>
    <x v="5"/>
    <m/>
    <n v="0"/>
  </r>
  <r>
    <x v="3"/>
    <s v="23CHDIF01"/>
    <s v="Childcare Infrastructure Grants"/>
    <n v="3267"/>
    <d v="2022-05-05T00:00:00"/>
    <d v="2026-12-31T00:00:00"/>
    <n v="1701"/>
    <n v="0.70840681951793061"/>
    <n v="30000000"/>
    <n v="0"/>
    <n v="0"/>
    <n v="30000000"/>
    <n v="30000000"/>
    <n v="0"/>
    <n v="30000000"/>
    <s v="22FRF32671"/>
    <s v="Child Care emerged as one of the top priorities for Nevadans during recovery from the public health emergency (PHE) in order to get people back to work. There is only enough capacity to serve approximately 14% of the estimated number of children needing care. Approximately 342,995 of the estimated 390,155 children in Nevada who are 11 years old or younger may be in need of child care. There are only 47,160 seats estimated available today."/>
    <s v="To assist child care providers with the ability to expand their capacity to serve additional children by expanding existing facilities or building new facilities"/>
    <s v="DWSS is working with the Governor's Finance Office, the Department of Health and Human Services, and an external contractor which specializes in federal construction/capital procurement regulations, enforcement, and associated evaluation of expenditures and activities."/>
    <s v="_x000a_These funds are obligated to 17 subrecipients to complete 18 childcare facilities._x000a_o 5 Facilities are completed, open and serving children.  532 Net child care slots have been added_x000a_o 7 Facilities are over 50% completed_x000a_o 3 Facilities have begun construction but are less than 50% complete_x000a_o 1 Facility has not yet broken ground but has confirmed completion date prior to _x000a_September 30, 2026_x000a_o 2 Facilites are temporarily halted pending DAG advice._x000a_The Division is closely monitoring activity for all 18 childcare projects and is on track to spend down this award on time._x000a_Project is anticipated to  be completed by September 30, 2026"/>
    <x v="5"/>
    <n v="30000000"/>
    <m/>
    <n v="30000000"/>
    <n v="25142246"/>
    <n v="312049.61"/>
    <n v="25454295.609999999"/>
    <n v="0.84847652033333332"/>
    <n v="0"/>
    <n v="30000000"/>
    <n v="0"/>
    <n v="0"/>
    <s v="One Time Funding"/>
    <s v="532 Child Care Slots added due to 1 facilities temporary closure"/>
    <n v="0"/>
    <s v="Yes"/>
    <x v="0"/>
    <x v="5"/>
    <s v="These funds are obligated to 17 subrecipients to complete 18 childcare facilities._x000a_o 5 Facilities are completed, open and serving children.  532 Net child care slots have been added_x000a_o 7 Facilities are over 50% completed_x000a_o 3 Facilities have begun construction but are less than 50% complete_x000a_o 1 Facility has not yet broken ground but has confirmed completion date prior to _x000a_September 30, 2026_x000a_o 2 Facilites are temporarily halted pending DAG advice._x000a_The Division is closely monitoring activity for all 18 childcare projects and is on track to spend down this award on time._x000a_Project is anticipated to  be completed by September 30, 2026"/>
    <n v="4545704.3900000006"/>
  </r>
  <r>
    <x v="3"/>
    <s v="23CHDSB01"/>
    <s v="Childcare Subsidy Grants"/>
    <n v="3267"/>
    <d v="2022-06-01T00:00:00"/>
    <d v="2026-12-31T00:00:00"/>
    <n v="1674"/>
    <n v="1"/>
    <n v="50000000"/>
    <n v="0"/>
    <n v="0"/>
    <n v="50000000"/>
    <n v="50000000"/>
    <n v="0"/>
    <n v="50000000"/>
    <s v="22FRF32671"/>
    <s v="The proposal is to use this $50 million so all subsidy-eligible households can receive 100% subsidy coverage with the ARPA FRF paying for the required copay portion for each eligible family. Child care subsidy is available for eligible children ages 0-12 years. Funds will be sub-awarded to Nevada's Child Care Resource and Referral agencies currently performing eligibility and subsidy application processing on behalf of the state. The average estimated subsidized cost of child care is $13,931 per year per child for full-time care and that does not include the amount a household is required to pay as a copayment (averaged at $5,066 per year per child). Estimates are based on an average household of four (4) people with an annual income of $72,378. Current average caseload for the subsidy program is 6,480 children."/>
    <s v="DWSS was able to provide co-payments to approximately 14,500 children for 13 months. "/>
    <s v="This project is connected to families receiving federal child care subsidy assistance which has an income limit for those families making up to 85% of the state's median income for their household size. This naturally ensures the funds are being used to serve those most impacted by the Pandemic and ongoing economic recovery which is stalled due to the need for more child care. "/>
    <s v="DWSS has fully expended available co-payment funds. "/>
    <x v="0"/>
    <n v="50000000"/>
    <m/>
    <n v="50000000"/>
    <n v="50000000"/>
    <n v="0"/>
    <n v="50000000"/>
    <n v="1"/>
    <n v="0"/>
    <n v="50000000"/>
    <n v="0"/>
    <n v="0"/>
    <s v="One Time Funding"/>
    <n v="0"/>
    <n v="0"/>
    <s v="No"/>
    <x v="0"/>
    <x v="5"/>
    <m/>
    <n v="0"/>
  </r>
  <r>
    <x v="4"/>
    <s v="24CAMR01"/>
    <s v="Camera Security Replacement Projects - Summit View Youth Center and Northern Nevada Youth Center"/>
    <n v="1383"/>
    <d v="2024-01-29T00:00:00"/>
    <d v="2025-06-30T00:00:00"/>
    <n v="518"/>
    <n v="1.1023166023166022"/>
    <n v="873360"/>
    <n v="0"/>
    <n v="0"/>
    <n v="873360"/>
    <n v="873360"/>
    <n v="0"/>
    <n v="873360"/>
    <s v="24FRF13831"/>
    <s v="This request includes the replacement of the current functional and non-functional video devices with new cameras, mounts and recording servers.  This is an urgent need to get the system federally compliant."/>
    <s v="This request includes the replacement of the current functional and non-functional video devices with new cameras, mounts and recording servers.  This is an urgent need to get the system federally compliant."/>
    <s v="This request includes the replacement of the current functional and non-functional video devices with new cameras, mounts and recording servers.  This is an urgent need to get the system federally compliant."/>
    <s v="The contract for Northern NV Youth Center (NYTC) camera system in the amount of $237,331 was approved at the 7/9/24 BOE meeting with an anticipated completion date of 12/31/24.  The quote for Summit View's camera system is $390,165.49 and the contract will be considered at the 12/10/24 BOE meeting, with an anticipated completion date of 3/31/2025.  In addition to the 2 contracts for the camera system, switches were needed and purchased for the NYTC Camera System.  The balance of the ARPA funding will be used to purchase body cameras at both facilities."/>
    <x v="1"/>
    <n v="873360"/>
    <m/>
    <n v="873360"/>
    <n v="634934.85"/>
    <n v="0"/>
    <n v="634934.85"/>
    <n v="0.7270024388568288"/>
    <n v="0"/>
    <n v="873360"/>
    <n v="0"/>
    <n v="0"/>
    <s v="One Time Funding"/>
    <s v="N/A"/>
    <s v="N/A"/>
    <s v="Yes"/>
    <x v="0"/>
    <x v="0"/>
    <m/>
    <n v="238425.15000000002"/>
  </r>
  <r>
    <x v="4"/>
    <s v="23SPFWC01"/>
    <s v="Washoe County SFC Rate increase -Retention of foster care providers through a temporary rate increase"/>
    <n v="3141"/>
    <d v="2023-01-01T00:00:00"/>
    <d v="2024-12-31T00:00:00"/>
    <n v="730"/>
    <n v="1"/>
    <n v="344182"/>
    <n v="-37462"/>
    <m/>
    <n v="306720"/>
    <n v="306720"/>
    <n v="0"/>
    <n v="344182"/>
    <s v="23FRF31411"/>
    <s v="Retention of foster care providers through a temporary rate increase"/>
    <s v="Retention of foster care providers through a temporary rate increase"/>
    <s v="Retention of foster care providers through a temporary rate increase"/>
    <s v="The balance was de-obligated via an allocation change form 10/10/23  - 100% Expended - FINALIZED"/>
    <x v="0"/>
    <n v="306720"/>
    <m/>
    <n v="306720"/>
    <n v="306720"/>
    <m/>
    <n v="306720"/>
    <n v="0.89115642305524401"/>
    <n v="-37462"/>
    <n v="306720"/>
    <n v="0"/>
    <n v="0"/>
    <s v="One Time Funding"/>
    <n v="94"/>
    <s v="N/A"/>
    <s v="No"/>
    <x v="3"/>
    <x v="3"/>
    <s v="ok"/>
    <n v="0"/>
  </r>
  <r>
    <x v="4"/>
    <s v="22CCCWF01"/>
    <s v="Clark County Child Welfare Higher Level of Care"/>
    <n v="3142"/>
    <d v="2021-12-21T00:00:00"/>
    <d v="2024-06-30T00:00:00"/>
    <n v="922"/>
    <n v="1"/>
    <n v="1971000"/>
    <n v="0"/>
    <n v="0"/>
    <n v="1971000"/>
    <n v="1971000"/>
    <n v="0"/>
    <n v="1971000"/>
    <s v="22FRF31421"/>
    <s v="Funds six (6) beds in an intermediate care facility for children and youth with autism or intellectual and developmental delays who have behavioral needs such that they cannot be safely cared for in the community."/>
    <s v="Funds six (6) beds in an intermediate care facility for children and youth with autism or intellectual and developmental delays who have behavioral needs such that they cannot be safely cared for in the community."/>
    <s v="As a result of reduction or elimination of in-home services and other community based services due to the pandemic, many children are now experiencing significant behavioral health issues, which has created an increased need for residential services tailored specifically to this population."/>
    <s v="Clark County has successfully completed this project and provided residential services for children and youth in need of behavioral and mental health services. "/>
    <x v="0"/>
    <n v="1971000"/>
    <m/>
    <n v="1971000"/>
    <n v="1971000"/>
    <m/>
    <n v="1971000"/>
    <n v="1"/>
    <n v="0"/>
    <n v="1971000"/>
    <n v="0"/>
    <n v="0"/>
    <s v="One Time Funding"/>
    <n v="65"/>
    <s v="N/A"/>
    <s v="No"/>
    <x v="2"/>
    <x v="4"/>
    <s v="ok"/>
    <n v="0"/>
  </r>
  <r>
    <x v="4"/>
    <s v="23SPFCC01"/>
    <s v="Clark County SFC Rate increase - Retention of foster care providers through a temporary rate increase "/>
    <n v="3142"/>
    <d v="2023-01-01T00:00:00"/>
    <d v="2023-12-31T00:00:00"/>
    <n v="364"/>
    <n v="1"/>
    <n v="1275028"/>
    <n v="-200228"/>
    <n v="0"/>
    <n v="1074800"/>
    <n v="1074800"/>
    <n v="0"/>
    <n v="1275028"/>
    <s v="23FRF31422"/>
    <s v="Retention of foster care providers through a temporary rate increase"/>
    <s v="Retention of foster care providers through a temporary rate increase. "/>
    <s v="Retention of foster care providers through a temporary rate increase"/>
    <s v="The balance was de-obligated via an allocation change form 10/10/23  - 100% Expended - FINALIZED"/>
    <x v="0"/>
    <n v="1074800"/>
    <m/>
    <n v="1074800"/>
    <n v="1074800"/>
    <m/>
    <n v="1074800"/>
    <n v="0.84296188005283024"/>
    <n v="-200228"/>
    <n v="1074800"/>
    <n v="0"/>
    <n v="0"/>
    <s v="One Time Funding"/>
    <n v="352"/>
    <s v="N/A"/>
    <s v="No"/>
    <x v="2"/>
    <x v="3"/>
    <s v="ok"/>
    <n v="0"/>
  </r>
  <r>
    <x v="4"/>
    <s v="23MYAVT02"/>
    <s v="DCFS - myAVATAR"/>
    <n v="3143"/>
    <d v="2022-08-18T00:00:00"/>
    <d v="2024-06-30T00:00:00"/>
    <n v="682"/>
    <n v="1"/>
    <n v="364000"/>
    <n v="-48000"/>
    <m/>
    <n v="316000"/>
    <n v="316000"/>
    <n v="0"/>
    <n v="364000"/>
    <s v="23FRF31431"/>
    <s v="Upgrade to myAvatar, an electronic health record solution to improve efficiency in operations."/>
    <s v="Upgrade the Netsmart myAvatar to the NX platform to maintain security compliance and meet accreditation for the system utilized by our clinicians for reporting treatment and medications for the clients we serve."/>
    <s v="Upgrade the Netsmart myAvatar to the NX platform to maintain security compliance and meet accreditation for the system utilized by our clinicians for reporting treatment and medications for the clients we serve."/>
    <s v="Allocation Change to De-obligate $48,000 was approved by the GFO ARPA Team  - 100% Expended - FINALIZED"/>
    <x v="0"/>
    <n v="316000"/>
    <m/>
    <n v="316000"/>
    <n v="316000"/>
    <m/>
    <n v="316000"/>
    <n v="0.86813186813186816"/>
    <n v="-48000"/>
    <n v="316000"/>
    <n v="0"/>
    <n v="0"/>
    <s v="One Time Funding"/>
    <s v="N/A"/>
    <s v="N/A"/>
    <s v="No"/>
    <x v="0"/>
    <x v="0"/>
    <s v="ok"/>
    <n v="0"/>
  </r>
  <r>
    <x v="4"/>
    <s v="23UNITY01"/>
    <s v="Unified Nevada Information  Technology  for Youth (UNITY) Replacement"/>
    <n v="3143"/>
    <d v="2022-10-20T00:00:00"/>
    <d v="2025-06-30T00:00:00"/>
    <n v="984"/>
    <n v="1.0538617886178863"/>
    <n v="18370000"/>
    <n v="0"/>
    <n v="0"/>
    <n v="18370000"/>
    <n v="18370000"/>
    <n v="0"/>
    <n v="18370000"/>
    <s v="23FRF31432"/>
    <s v="To contract the replacement of the Unified Nevada Information Technology for Youth (UNITY) system."/>
    <s v="Funds to replace the UNITY system which is Nevada's federally required electronic child welfare case management tool and holds the official case records for all children and families served by child welfare agencies_x000a_in Nevada."/>
    <s v="Funds to replace the UNITY system which is Nevada's federally required electronic child welfare case management tool and holds the official case records for all children and families served by child welfare agencies_x000a_in Nevada."/>
    <s v="With the help of the UNITY Modernization Needs Assessment Project Vendor “KPMG LLP”, DCFS Information Services completed gathering the functional requirements for the below UNITY functional areas:_x000a_1)_x0009_Intake_x000a_2)_x0009_Assessment/Investigation_x000a_3)_x0009_Case Management_x000a_4)_x0009_Med Case Management/Treatment and Case Review_x000a_5)_x0009_Foster Care Services for App Licensing/Licensing Caseload and Resource Availability_x000a_6)_x0009_Placement Stability &amp; Permanency (Make, Maintain, Preserve Placement)_x000a_7)_x0009_Adoptions (Case Management of) and Independent Living_x000a_8)_x0009_Court Processing_x000a_9)_x0009_Eligibility_x000a_10)_x0009_Financial/Provider Management/Payment Processing_x000a_11)_x0009_Child, Guardians, Parents, Resources &amp; Collateral Profile Management_x000a_12)_x0009_Security_x000a_13)_x0009_Worker Workflows_x000a_14)_x0009_Data Management and Data Quality_x000a_15)_x0009_Forms_x000a_16)_x0009_System Interfaces_x000a_17)_x0009_Reporting and Analytics_x000a__x000a_Upcoming Workshop Schedule:_x000a_Juvenile Justice (Part 2) – Week of December 2nd_x000a_The vendor KPMG LLP provided DCFS the following deliverables (Deliverable Expectations Documents (DED) – 1st Draft) related to the Child Welfare Information System  which are currently being reviewed by the Stakeholders._x000a_1._x0009_Requirements_x000a_2._x0009_Process Flows_x000a_3._x0009_Matrix"/>
    <x v="2"/>
    <n v="18370000"/>
    <m/>
    <n v="18370000"/>
    <n v="1663983.64"/>
    <n v="0"/>
    <n v="1663983.64"/>
    <n v="9.058158083832335E-2"/>
    <n v="0"/>
    <n v="18370000"/>
    <n v="0"/>
    <n v="0"/>
    <s v="One Time Funding"/>
    <s v="N/A"/>
    <s v="N/A"/>
    <s v="No"/>
    <x v="0"/>
    <x v="0"/>
    <m/>
    <n v="16706016.359999999"/>
  </r>
  <r>
    <x v="4"/>
    <s v="22SFNST01"/>
    <s v="Safe Nest - Temporary Assistance for Domestic Crisis  under the Community Recovery Grant"/>
    <n v="3145"/>
    <d v="2022-07-01T00:00:00"/>
    <d v="2024-06-30T00:00:00"/>
    <n v="730"/>
    <n v="1"/>
    <n v="100000"/>
    <n v="0"/>
    <n v="0"/>
    <n v="100000"/>
    <n v="100000"/>
    <n v="0"/>
    <n v="100000"/>
    <s v="22FRF31452"/>
    <s v="Provide therapy services to children and adult victims."/>
    <s v="This addition will allow the sub awardee, Safe Nest, to hire contract therapist hours needed to clear the waitlist for victim and children counseling, allowing the provision of an additional 1,600-1,800 counseling sessions in 2022."/>
    <s v="This addition will allow the sub awardee, Safe Nest, to hire contract therapist hours needed to clear the waitlist for victim and children counseling, allowing the provision of an additional 1,600-1,800 counseling sessions in 2022."/>
    <s v=" 100% Expended. Safe Nest has successfully provided therapy and counseling to 1,718 child and adult victims of domestic violence. "/>
    <x v="0"/>
    <n v="100000"/>
    <m/>
    <n v="100000"/>
    <n v="100000"/>
    <m/>
    <n v="100000"/>
    <n v="1"/>
    <n v="0"/>
    <n v="100000"/>
    <n v="0"/>
    <n v="0"/>
    <s v="One Time Funding"/>
    <n v="1718"/>
    <s v="N/A"/>
    <s v="No"/>
    <x v="2"/>
    <x v="3"/>
    <s v="ok"/>
    <n v="0"/>
  </r>
  <r>
    <x v="4"/>
    <s v="22SHDTR01"/>
    <s v="Shade Tree - Community Recovery Grant"/>
    <n v="3145"/>
    <d v="2022-07-01T00:00:00"/>
    <d v="2024-06-30T00:00:00"/>
    <n v="730"/>
    <n v="1"/>
    <n v="506428"/>
    <n v="0"/>
    <n v="0"/>
    <n v="506428"/>
    <n v="506428"/>
    <n v="0"/>
    <n v="506428"/>
    <s v="22FRF31454"/>
    <s v="Launch front line domestic violence crisis response team, provide special dietary needs, and create an infectious diseases preparedness plan."/>
    <s v="During the two years of the COVID-19 pandemic, The Shade Tree continued to provide emergency shelter and vital resources to Southern Nevada. We worked extremely hard to make necessary COVID-19 safety precautions, isolation units, provided testing and vaccinations all while employing staff to provide expert and professional victims’ resources to domestic violence victims, human trafficking victims and those experiencing homelessness. During this time, we saw a rise in domestic violence rates and partnered with LVMPD and partner organizations to address this increase. "/>
    <s v="As our state and southern Nevada community recover from the pandemic, we have planned and propose three strategies at The Shade Tree 1) Job Creation 2) Frontline Crisis Response Team 3) COVID-19 (and other infectious diseases) Preparedness Plan."/>
    <s v=" 100% expended, project has been completed.  The Shade Tree has provided advocacy and services to 901 victims/survivors of domestic violence. In addition, they have improved the health of 1,138 victims/survivors and created 337 safety plans.  "/>
    <x v="0"/>
    <n v="506428"/>
    <m/>
    <n v="506428"/>
    <n v="506427.98000000004"/>
    <m/>
    <n v="506427.98000000004"/>
    <n v="0.99999996050771289"/>
    <n v="0"/>
    <n v="506428"/>
    <n v="0"/>
    <n v="0"/>
    <s v="One Time Funding"/>
    <n v="1138"/>
    <s v="N/A"/>
    <s v="No"/>
    <x v="2"/>
    <x v="3"/>
    <s v="ok"/>
    <n v="1.9999999960418791E-2"/>
  </r>
  <r>
    <x v="4"/>
    <s v="22SONSM01"/>
    <s v="Special Olympics Strong Minds - Community Recovery Grant  - Amendment#1 extended the end date from 6/13/2025"/>
    <n v="3145"/>
    <d v="2022-07-01T00:00:00"/>
    <d v="2025-06-30T00:00:00"/>
    <n v="1095"/>
    <n v="1"/>
    <n v="1000000"/>
    <n v="0"/>
    <n v="0"/>
    <n v="1000000"/>
    <n v="1000000"/>
    <n v="0"/>
    <n v="1000000"/>
    <s v="22FRF31453"/>
    <s v="For students to participate in the  &quot;Strong Mind&quot; program, an interactive learning activity focused on developing adaptive coping skills to prevent self-harm."/>
    <s v="The COVID-19 pandemic has been shown to have had negative impacts on the mental health of students in Nevada. SONV intends to support the state in addressing the critical mental health issues. "/>
    <s v="Interactive learning activity focused on developing adaptive coping skills. "/>
    <s v="Final RFR submitted to GFO ARPA team on 7/28/25. This project has been fully expended. An extension thru 6/30/2025 was approved by the GFO ARPA Team. Agency encountered delays in getting the part-time/intern support but have identified two candidates and have travel planned for a couple of Northern NV events in the next couple of months. To date, Special Olympics has implemented the Strong Minds curriculum in 15 schools and 1 community organization. "/>
    <x v="0"/>
    <n v="1000000"/>
    <m/>
    <n v="1000000"/>
    <n v="891490.54"/>
    <m/>
    <n v="891490.54"/>
    <n v="0.89149054000000005"/>
    <n v="0"/>
    <n v="1000000"/>
    <n v="0"/>
    <n v="0"/>
    <s v="One Time Funding"/>
    <n v="57579"/>
    <s v="N/A"/>
    <s v="No"/>
    <x v="0"/>
    <x v="4"/>
    <s v="ok"/>
    <n v="108509.45999999996"/>
  </r>
  <r>
    <x v="4"/>
    <s v="22VOCSP01"/>
    <s v="VICTIMS OF CRIME SERVICE PROVIDERS  - Amendment #1 extend from date 12/31//2024 to 6/30/2025"/>
    <n v="3145"/>
    <d v="2022-02-10T00:00:00"/>
    <d v="2024-12-31T00:00:00"/>
    <n v="1055"/>
    <n v="1"/>
    <n v="5750000"/>
    <n v="0"/>
    <n v="0"/>
    <n v="5750000"/>
    <n v="5750000"/>
    <n v="0"/>
    <n v="5750000"/>
    <s v="22FRF31451"/>
    <s v="Sub-award to Victims of Crime Service Providers to provide level funding to Victim of Crime Act (VOCA) Assistance grant subrecipients.  "/>
    <s v="VOCA grant funding has decreased significantly over the last three years.  This funding will assist Nevada to maintain victim services across the state. "/>
    <s v="Continue to provide support to victims of crime in Nevada. "/>
    <s v="Final RFR submitted to GFO ARPA team on 7/28/25. This project is pending close out. Funding was awarded to 11 agencies to provide advocacy, case management and other services for victims of crime. "/>
    <x v="0"/>
    <n v="5750000"/>
    <m/>
    <n v="5750000"/>
    <n v="5745023.0499999989"/>
    <m/>
    <n v="5745023.0499999989"/>
    <n v="0.99913444347826064"/>
    <n v="0"/>
    <n v="5750000"/>
    <n v="0"/>
    <n v="0"/>
    <s v="One Time Funding"/>
    <n v="12680"/>
    <s v="N/A"/>
    <s v="No"/>
    <x v="0"/>
    <x v="3"/>
    <s v="ok"/>
    <n v="4976.9500000011176"/>
  </r>
  <r>
    <x v="4"/>
    <s v="23CAPWC01"/>
    <s v="Child Assault Prevention of Washoe County - Elementary Child Abuse Awareness Workshop - Community Recovery Grant"/>
    <n v="3145"/>
    <d v="2022-07-27T00:00:00"/>
    <d v="2025-09-30T00:00:00"/>
    <n v="1161"/>
    <n v="0.96640826873385011"/>
    <n v="250144"/>
    <n v="0"/>
    <m/>
    <n v="250144"/>
    <n v="250144"/>
    <n v="0"/>
    <n v="250144"/>
    <s v="23FRF31452"/>
    <s v="Expansion of the child self-protection workshops into Elko and Mineral County schools. "/>
    <s v="The workshop teaches children how to recognize and get help for abusive situations they may encounter with bullies, strangers, internet predators, social media, and issues with safe/unsafe/ secret touching."/>
    <s v="CPS has reported an increase in reported abuse by 20% since pre-pandemic and expect to see this increase significantly over the next few years."/>
    <s v="On target to fully expend the award by 09/30/2025. CAP was able to hire and train 3 new workshop facilitators with ARPA funding.  They were also able to reach out more to our rural counties and present workshops in Storey, Lyon and Churchill Counties. During 2023-2024 we were able to present 195 workshops to 3,666 students."/>
    <x v="1"/>
    <n v="250144"/>
    <m/>
    <n v="250144"/>
    <n v="198013.54"/>
    <n v="0"/>
    <n v="198013.54"/>
    <n v="0.79159819943712428"/>
    <n v="0"/>
    <n v="250144"/>
    <n v="0"/>
    <n v="0"/>
    <s v="One Time Funding"/>
    <n v="7935"/>
    <s v="N/A"/>
    <s v="No"/>
    <x v="1"/>
    <x v="4"/>
    <s v="ok"/>
    <n v="52130.459999999992"/>
  </r>
  <r>
    <x v="4"/>
    <s v="23CBYFS01"/>
    <s v="Community Based, Youth Focused Beh. Health Services - Amendment #1 to extend from date 12/31/24 to 6/30/25"/>
    <n v="3145"/>
    <d v="2022-10-20T00:00:00"/>
    <d v="2024-12-31T00:00:00"/>
    <n v="803"/>
    <n v="1"/>
    <n v="2600000"/>
    <n v="0"/>
    <n v="0"/>
    <n v="2600000"/>
    <n v="2600000"/>
    <n v="0"/>
    <n v="2600000"/>
    <s v="23FR314520"/>
    <s v="Sub-grants to mental health providers to provide social emotional learning and counselling services statewide."/>
    <s v="Strengthen the foundation of prevention services for Nevada’s youth and will increase access to behavioral health care by building out service delivery mechanisms in places where children and families go every day."/>
    <s v="The current behavioral/mental health workforce shortage crisis exacerbates the potential negative outcomes of a behavioral health need or crisis. This includes negative economic consequences,_x000a_such as increased spending on behavioral health care, expensive 24-hour care interventions, costs of emergency department care, increased use of the child welfare and juvenile justice systems."/>
    <s v="Final RFR submitted to GFO ARPA team on 7/28/25. This project is pending close out. $11,368.31 will be de-obligated. Funding was awarded to 5 agencies statewide to provide training and mental health services to youth. "/>
    <x v="0"/>
    <n v="2600000"/>
    <m/>
    <n v="2600000"/>
    <n v="2588631.69"/>
    <m/>
    <n v="2588631.69"/>
    <n v="0.99562757307692307"/>
    <n v="0"/>
    <n v="2600000"/>
    <n v="0"/>
    <n v="0"/>
    <s v="One Time Funding"/>
    <n v="5012"/>
    <s v="N/A"/>
    <s v="No"/>
    <x v="0"/>
    <x v="4"/>
    <s v="ok"/>
    <n v="11368.310000000056"/>
  </r>
  <r>
    <x v="4"/>
    <s v="23CFPSP01"/>
    <s v="Certified Family Peer Support Provider/Supervisor Workforce -Amendment #1 De - Obligation of $11463.00"/>
    <n v="3145"/>
    <d v="2022-10-20T00:00:00"/>
    <d v="2025-06-30T00:00:00"/>
    <n v="984"/>
    <n v="1"/>
    <n v="409400"/>
    <n v="-11463"/>
    <n v="0"/>
    <n v="397937"/>
    <n v="397937"/>
    <n v="0"/>
    <n v="409400"/>
    <s v="23FR314514"/>
    <s v="Sub-grant Nevada PEP to develop a training and certification process in Nevada for Family Peer Support Providers to increase the professional workforce by advancing core competencies."/>
    <s v="A sustainable model will include: an application and family run organization enrollment process, credentialing manual; standardized training curriculum that incorporates nationally recognized core competencies, skill sets and technical assistance. "/>
    <s v="There is a critical need to develop an efficient training and certification program unique to Nevada to increase the certified family peer support provider and supervisor workforce."/>
    <s v="Final RFR submitted to GFO ARPA team on 7/28/25. This project is pending close out."/>
    <x v="0"/>
    <n v="397937"/>
    <m/>
    <n v="397937"/>
    <n v="327491.05"/>
    <m/>
    <n v="327491.05"/>
    <n v="0.79992928676111374"/>
    <n v="-11463"/>
    <n v="397937"/>
    <n v="0"/>
    <n v="0"/>
    <s v="One Time Funding"/>
    <s v="N/A"/>
    <s v="N/A"/>
    <s v="No"/>
    <x v="0"/>
    <x v="2"/>
    <s v="ok"/>
    <n v="70445.950000000012"/>
  </r>
  <r>
    <x v="4"/>
    <s v="23CLKCW01"/>
    <s v="Clark County Child Welfare - May need to request an extension"/>
    <n v="3145"/>
    <d v="2022-08-18T00:00:00"/>
    <d v="2026-06-30T00:00:00"/>
    <n v="1412"/>
    <n v="0.77903682719546741"/>
    <n v="4198804"/>
    <n v="0"/>
    <n v="0"/>
    <n v="4198804"/>
    <n v="4198804"/>
    <n v="0"/>
    <n v="4198804"/>
    <s v="23FR314510"/>
    <s v="Clark County Clinical Division with a service array designed to meet youth behavioral, mental, health, intellectual, and developmental needs. This will include community-based assessments and treatment options to promote healthy development, preserve the family unit, continue engagement in education, and maintain the highest levels of funding."/>
    <s v="Clark County Clinical Division with a service array designed to meet youth behavioral, mental, health, intellectual, and developmental needs. "/>
    <s v="Clark County Clinical Division with a service array designed to meet youth behavioral, mental, health, intellectual, and developmental needs. "/>
    <s v="A request for an extension from 06/30/24 to 06/30/26 was approved by the GFO ARPA team on 6/20/24. Per CCDFS, the extension was needed due to delays in filling positions and delays in finalizing the contract with a consultant to assist with setting up the Clinical Division within the county for phase one of this project.  Starting July 1, 2025 Clark County will start hiring the 2nd phase positions to add the direct clinical staff, peer support and secure a medical transportation contract. "/>
    <x v="2"/>
    <n v="4198804"/>
    <m/>
    <n v="4198804"/>
    <n v="868162.54"/>
    <n v="0"/>
    <n v="868162.54"/>
    <n v="0.20676424524697987"/>
    <n v="0"/>
    <n v="4198804"/>
    <n v="0"/>
    <n v="0"/>
    <s v="One Time Funding"/>
    <n v="0"/>
    <s v="N/A"/>
    <s v="No"/>
    <x v="2"/>
    <x v="4"/>
    <s v="ok"/>
    <n v="3330641.46"/>
  </r>
  <r>
    <x v="4"/>
    <s v="23CSHWP01"/>
    <s v="COMMUNITY SCHOOL HEALTH AND WELLNESS PILOT PROGRAM"/>
    <n v="3145"/>
    <d v="2022-10-20T00:00:00"/>
    <d v="2024-12-31T00:00:00"/>
    <n v="803"/>
    <n v="1"/>
    <n v="535600"/>
    <n v="0"/>
    <n v="0"/>
    <n v="535600"/>
    <n v="535600"/>
    <n v="0"/>
    <n v="535600"/>
    <s v="23FR314515"/>
    <s v="To establish a health and wellness-focused  pilot community schools model on four campuses."/>
    <s v="Identify (a) effective tiered intensification processes needed to develop health and wellness activities on a school campus and (b) effective interventions and programs to address children and family health and well-being variables."/>
    <s v="Provide full-time coordination of community schools activities on the school campuses, staff to implement out-of-school and integrated student support programs to address the health and wellness outcomes of children and families."/>
    <s v="Final RFR submitted to GFO ARPA team on 7/28/25. This project is pending close out. $23,614.64 will be de-obligated. "/>
    <x v="0"/>
    <n v="535600"/>
    <m/>
    <n v="535600"/>
    <n v="511985.36"/>
    <m/>
    <n v="511985.36"/>
    <n v="0.95590993278566094"/>
    <n v="0"/>
    <n v="535600"/>
    <n v="0"/>
    <n v="0"/>
    <s v="One Time Funding"/>
    <n v="0"/>
    <s v="N/A"/>
    <s v="No"/>
    <x v="2"/>
    <x v="4"/>
    <s v="ok"/>
    <n v="23614.640000000014"/>
  </r>
  <r>
    <x v="4"/>
    <s v="23EDYHS01"/>
    <s v="DCFS - Eddy House - Community Recovering Grant"/>
    <n v="3145"/>
    <d v="2022-07-27T00:00:00"/>
    <d v="2025-09-30T00:00:00"/>
    <n v="1161"/>
    <n v="0.96640826873385011"/>
    <n v="1563117"/>
    <n v="0"/>
    <n v="0"/>
    <n v="1563117"/>
    <n v="1563117"/>
    <n v="0"/>
    <n v="1563117"/>
    <s v="23FRF31453"/>
    <s v="Eddy House will expand programs which will intervene and break the cycle of homelessness and poverty for these youth. Effective intervention and targeted services can prevent homeless youth from becoming chronically homeless adults. "/>
    <s v="Eddy House proposes a Femme, Trans, Women, &amp; Non-Binary Transitional Living Home (FTWTL Home) for approximately six to ten individuals for stays of up to two years to empower women and other vulnerable individuals to achieve independence through a supported residential program"/>
    <s v="The global pandemic amplified the already poor graduation rates, low employment rates, high acuity of mental health needs, high substance abuse, and widespread abuse our Transitional Aged Youth face every day."/>
    <s v="Final RFR submitted to GFO ARPA team on 7/28/25. This project is pending close out. Award was fully expended. "/>
    <x v="1"/>
    <n v="1563117"/>
    <m/>
    <n v="1563117"/>
    <n v="1545914.26"/>
    <n v="0"/>
    <n v="1545914.26"/>
    <n v="0.98899459221542596"/>
    <n v="0"/>
    <n v="1563117"/>
    <n v="0"/>
    <n v="0"/>
    <s v="One Time Funding"/>
    <n v="705"/>
    <s v="N/A"/>
    <s v="No"/>
    <x v="3"/>
    <x v="3"/>
    <s v="ok"/>
    <n v="17202.739999999991"/>
  </r>
  <r>
    <x v="4"/>
    <s v="23EMGCS02"/>
    <s v="EMERGENCY FUNDING FOR CHILD AND FAMILY SERVICES  - Amendment #2 extended from date to 6/30/26"/>
    <n v="3145"/>
    <d v="2023-06-14T00:00:00"/>
    <d v="2025-06-30T00:00:00"/>
    <n v="747"/>
    <n v="1.07095046854083"/>
    <n v="5000000"/>
    <n v="0"/>
    <n v="0"/>
    <n v="5000000"/>
    <n v="5000000"/>
    <n v="0"/>
    <n v="5000000"/>
    <s v="23FR314521"/>
    <s v="Crisis triage, residential treatment, and inpatient care services, and other currently non-billable services to youth  to ensure medically necessary treatment can be provided to those youth who continue to experience behavioral health crisis."/>
    <s v="Alleviate the urgent need for youth mental health services in Nevada resulting from COVID-19. As reported by the CDC, youth experiencing mental health issues may struggle with school and grades, decision making, and their health. "/>
    <s v="Crisis triage, residential treatment, and inpatient care services, and other currently non-billable services to youth  to ensure medically necessary treatment can be provided to those youth who continue to experience behavioral health crisis."/>
    <s v="Amendment #2- extended end date to 06/30/26. Funding has been obligated to 5 different projects. Contracts are in the process of being amended to add additional funding for acute psychiatric hospitalization care. "/>
    <x v="1"/>
    <n v="5000000"/>
    <m/>
    <n v="5000000"/>
    <n v="3920428.26"/>
    <n v="0"/>
    <n v="3920428.26"/>
    <n v="0.78408565199999991"/>
    <n v="0"/>
    <n v="5000000"/>
    <n v="0"/>
    <n v="0"/>
    <s v="One Time Funding"/>
    <n v="237"/>
    <s v="N/A"/>
    <s v="No"/>
    <x v="0"/>
    <x v="4"/>
    <s v="ok"/>
    <n v="1079571.7400000002"/>
  </r>
  <r>
    <x v="4"/>
    <s v="23INLVY01"/>
    <s v="INDEPENDENT LIVING YOUTH"/>
    <n v="3145"/>
    <d v="2022-10-20T00:00:00"/>
    <d v="2023-12-31T00:00:00"/>
    <n v="437"/>
    <n v="1"/>
    <n v="651687"/>
    <n v="-9996.9500000000007"/>
    <n v="0"/>
    <n v="641690.05000000005"/>
    <n v="641690.05000000005"/>
    <n v="0"/>
    <n v="651687"/>
    <s v="23FR314513"/>
    <s v="To continue supplemental payments for Independent Living Youth through December 31, 2023 via subawards. Previously supported by Chafee Division X funds"/>
    <s v="Youth with previous foster care experience to help mitigate the negative financial and socioeconomic impact caused by the Pandemic. "/>
    <s v="Supplemental payments to mitigate the risk for homelessness, unemployment, adversely educationally impacted, with significant negative mental health impacts."/>
    <s v="Allocation Change to De-obligate was approved by the GFO ARPA Team on 10/10/23 - 100% Expended - FINALIZED"/>
    <x v="0"/>
    <n v="641690.05000000005"/>
    <m/>
    <n v="641690.05000000005"/>
    <n v="641690.05000000005"/>
    <m/>
    <n v="641690.05000000005"/>
    <n v="0.98465989040751167"/>
    <n v="-9996.9500000000007"/>
    <n v="641690.05000000005"/>
    <n v="0"/>
    <n v="0"/>
    <s v="One Time Funding"/>
    <n v="404"/>
    <s v="N/A"/>
    <s v="No"/>
    <x v="0"/>
    <x v="3"/>
    <s v="ok"/>
    <n v="0"/>
  </r>
  <r>
    <x v="4"/>
    <s v="23LVSRC01"/>
    <s v="VEGAS STRONG RESILIENCY CENTER"/>
    <n v="3145"/>
    <d v="2022-12-15T00:00:00"/>
    <d v="2026-12-31T00:00:00"/>
    <n v="1477"/>
    <n v="0.66418415707515233"/>
    <n v="7022777"/>
    <n v="-401607"/>
    <n v="0"/>
    <n v="6621170"/>
    <n v="6621170"/>
    <n v="0"/>
    <n v="7022777"/>
    <s v="23FR314522"/>
    <s v="A capital improvement project to provide a one stop shop for victims to receive wrap around support provided by Legal Aid Center of Southern Nevada."/>
    <s v="Provide capital improvements and temporary contract staff and associated costs for the Vegas Strong Resiliency Center."/>
    <s v="Provide capital improvements and temporary contract staff and associated costs for the Vegas Strong Resiliency Center."/>
    <s v="Based on an updated spending plan, the subrecipient determined that $401,607 originally designated for project oversight should be de-obligated,  Work Program 24FR31456T balanced forward the ARPA allocation remaining at the end of SFY 2023 minus the $401,607to be de-obligated.  Legal Aid Center of Southern Nevada has secured a building at 801 E. Charleston in Las Vegas. The building is a former bank and renovations are necessary and will include an additional building and parking.  Legal Aid Center has retained LGA Architecture to designed concept drawings that expand on the footprint of the existing building that meets the needs of the new building while keeping the historic design attributes.  A historical consultant has also been retained to document the current building for establishing a permanent historical record.  Procurement complete and bids are in.  Finalized 8 to 11 of 22 contracts continuing to work to select the lowest responsible bidder. Timeline for remainder of the 22 contracts to be finalized is by May 16. Legal Aid is trying to stay ahead of tariff issues and most contracts are using materials/equipment sourced domestically.   HVAC, electrical switch gear. -switch gear is about a $2m deposit once order is placed, expect additional deposits or payments to be made as contractors order materials for project. Have a solid 302 day construction timeline with the contractor.  Expect to be completed by August 2026. Construction completion anticipated by May 2026) with project completion by August 2026_x000a_Based on an updated spending plan, the subrecipient determined that $401,607 originally designated for project oversight should be de-obligated,  Work Program 24FR31456T balanced forward the ARPA allocation remaining at the end of SFY 2023 minus the $401,607to be de-obligated.  Legal Aid Center of Southern Nevada has secured a building at 801 E. Charleston in Las Vegas. The building is a former bank and renovations are necessary and will include an additional building and parking.  Legal Aid Center has retained LGA Architecture to designed concept drawings that expand on the footprint of the existing building that meets the needs of the new building while keeping the historic design attributes.  A historical consultant has also been retained to document the current building for establishing a permanent historical record.  _x000a__x000a_On April 9, 2024, the first community meeting with surrounding neighbors to ensure they were aware of the new project and to elicit valuable feedback that could be integrated into the design to ensure it is a valued community asset and place of healing. _x000a__x000a_Legal Aid Center is currently receiving bids for demolition of parts of the existing site. Special care is being taken to preserve the architecturally significant pieces of the building, such as the Brise Soleil on the east face of the building and the unique brickwork, both of which will be reinstalled in the new structure. Demolition is expected to start/end June-August 2024."/>
    <x v="2"/>
    <n v="6621170"/>
    <m/>
    <n v="6621170"/>
    <n v="838510.75"/>
    <n v="0"/>
    <n v="838510.75"/>
    <n v="0.11939874354546641"/>
    <n v="-401607"/>
    <n v="6621170"/>
    <n v="0"/>
    <n v="0"/>
    <s v="One Time Funding"/>
    <s v="N/A"/>
    <s v="N/A"/>
    <s v="Yes"/>
    <x v="2"/>
    <x v="0"/>
    <s v=" "/>
    <n v="5782659.25"/>
  </r>
  <r>
    <x v="4"/>
    <s v="23NWFEO01"/>
    <s v="Nursing Workforce Educational Opportunity"/>
    <n v="3145"/>
    <d v="2022-10-20T00:00:00"/>
    <d v="2025-12-31T00:00:00"/>
    <n v="1168"/>
    <n v="0.88784246575342463"/>
    <n v="6000000"/>
    <n v="0"/>
    <n v="0"/>
    <n v="6000000"/>
    <n v="6000000"/>
    <n v="0"/>
    <n v="6000000"/>
    <s v="23FR314517"/>
    <s v="Develop and enhance the nursing workforce to address unprecedented medical workforce shortages through providing scholarships to eligible Nevada Registered Nurses to enter a nationally accredited APRN program."/>
    <s v="Develop and enhance the nursing workforce to address unprecedented medical workforce shortages through providing scholarships to eligible Nevada Registered Nurses to enter a nationally accredited APRN program."/>
    <s v="Nevada is experiencing unprecedented medical workforce shortages in medicine, nursing, and behavioral health. 1.9 million Nevadans reside in a primary care Health Professional Shortage Area (HPSA) or 67.3% of the state's_x000a_population."/>
    <s v="UNR is on target to fully expend by 12/31/2025. UNR will be contracting with another entity starting 01/01/2025. Projections based on spending plan submitted by UNR. Scholarships are awarded by semester. UNLV has expended 100% of the $3.0 million awarded for the scholarships."/>
    <x v="1"/>
    <n v="6000000"/>
    <m/>
    <n v="6000000"/>
    <n v="3944065.52"/>
    <n v="0"/>
    <n v="3944065.52"/>
    <n v="0.65734425333333335"/>
    <n v="0"/>
    <n v="6000000"/>
    <n v="0"/>
    <n v="0"/>
    <s v="One Time Funding"/>
    <n v="310"/>
    <s v="N/A"/>
    <s v="No"/>
    <x v="0"/>
    <x v="2"/>
    <s v="ok"/>
    <n v="2055934.48"/>
  </r>
  <r>
    <x v="4"/>
    <s v="23QRTPC01"/>
    <s v="Qualified Residential Treatment Program Clark Co  - Amendment #1 extended from date  to 6/30/24  - Amendment #2  extended from date 6/30/24 to 2/28/25"/>
    <n v="3145"/>
    <d v="2023-10-20T00:00:00"/>
    <d v="2025-02-28T00:00:00"/>
    <n v="497"/>
    <n v="1"/>
    <n v="1695060"/>
    <n v="0"/>
    <n v="0"/>
    <n v="1695060"/>
    <n v="1695060"/>
    <n v="0"/>
    <n v="1695060"/>
    <s v="23FR314512"/>
    <s v="To support a 12 bed pilot program that meets Qualified Residential Treatment Program requirements."/>
    <s v="The goal of the programming is to ensure children and youth are not languishing in emergency shelters, detention, or hospitals when they need a community based level of foster care."/>
    <s v="Creating the new level of care for children and youth in foster care will provide an opportunity for children and youth to receive an appropriate level of mental health care"/>
    <s v="Final RFR is pending processing by GFO ARPA team. Project is complete. Closeout pending. _x000a_"/>
    <x v="0"/>
    <n v="1695060"/>
    <m/>
    <n v="1695060"/>
    <n v="1607991"/>
    <m/>
    <n v="1607991"/>
    <n v="0.94863367668401122"/>
    <n v="0"/>
    <n v="1695060"/>
    <n v="0"/>
    <n v="0"/>
    <s v="One Time Funding"/>
    <n v="60"/>
    <s v="N/A"/>
    <s v="No"/>
    <x v="2"/>
    <x v="4"/>
    <s v="ok"/>
    <n v="87069"/>
  </r>
  <r>
    <x v="4"/>
    <s v="23RWECC01"/>
    <s v="Refuge for Women Emergency Crisis Care - Community Recovery Grant - Amendment #1 extended from date 9/30/24 to 12/31/24"/>
    <n v="3145"/>
    <d v="2022-07-27T00:00:00"/>
    <d v="2024-12-31T00:00:00"/>
    <n v="888"/>
    <n v="1"/>
    <n v="485869"/>
    <n v="0"/>
    <n v="0"/>
    <n v="485869"/>
    <n v="485869"/>
    <n v="0"/>
    <n v="485869"/>
    <s v="23FRF31452"/>
    <s v="Provide a safe shelter, trauma informed care, and a full continuum of care to victims of sex-trafficking and those looking to leave the dark sex-industry."/>
    <s v="Provide a safe shelter, trauma informed care, and a full continuum of care to victims of sex-trafficking and those looking to leave the dark sex-industry."/>
    <s v="Continue to provide support to victims of crime in Nevada"/>
    <s v="Project is complete. Closeout has been completed by GFO ARPA team. $4,328.73 has been de-obligated. "/>
    <x v="0"/>
    <n v="485869"/>
    <m/>
    <n v="485869"/>
    <n v="481540.27"/>
    <m/>
    <n v="481540.27"/>
    <n v="0.99109074668274788"/>
    <n v="0"/>
    <n v="485869"/>
    <n v="0"/>
    <n v="0"/>
    <s v="One Time Funding"/>
    <n v="120"/>
    <s v="N/A"/>
    <s v="No"/>
    <x v="2"/>
    <x v="3"/>
    <s v="ok"/>
    <n v="4328.7299999999814"/>
  </r>
  <r>
    <x v="4"/>
    <s v="23SRPRN01"/>
    <s v="Study to review Reimbursement Parity APRN - 100% of funding returned - study was not completed."/>
    <n v="3145"/>
    <d v="2022-10-20T00:00:00"/>
    <d v="2023-10-19T00:00:00"/>
    <n v="364"/>
    <n v="1"/>
    <n v="500000"/>
    <n v="-500000"/>
    <n v="0"/>
    <n v="0"/>
    <n v="0"/>
    <n v="0"/>
    <n v="500000"/>
    <s v="23FR314516"/>
    <s v="To conduct a study to review the impact of reimbursement parity for services provided by Advanced Practice Registered Nurses."/>
    <s v="A systems approach for review will be utilized considering cost savings of using APRNs, impact on workforce development and retention if reimbursement parity exists."/>
    <s v="A systems approach for review will be utilized considering cost savings of using APRNs, impact on workforce development and retention if reimbursement parity exists."/>
    <s v="Allocation Change to Deobligate 100% approved by GFO 7-14-23 Funding not needed"/>
    <x v="0"/>
    <n v="0"/>
    <m/>
    <n v="0"/>
    <n v="0"/>
    <m/>
    <n v="0"/>
    <n v="0"/>
    <n v="-500000"/>
    <n v="0"/>
    <n v="0"/>
    <n v="0"/>
    <s v="One Time Funding"/>
    <s v="N/A"/>
    <s v="N/A"/>
    <s v="No"/>
    <x v="0"/>
    <x v="1"/>
    <s v="Allocation Change to Deobligate 100% approved by GFO 7-14-23 Funding not needed"/>
    <n v="0"/>
  </r>
  <r>
    <x v="4"/>
    <s v="23SUPST3145"/>
    <s v="DCFS -ARPA Oversight  SFY 2025-  BA 3145 (8 FTE - PCN 526-533)  - Amendment #1 "/>
    <n v="3145"/>
    <d v="2024-07-01T00:00:00"/>
    <d v="2027-02-28T00:00:00"/>
    <n v="972"/>
    <n v="0.42901234567901236"/>
    <n v="1014987"/>
    <n v="232771"/>
    <n v="0"/>
    <n v="1247758"/>
    <n v="1247758"/>
    <n v="0"/>
    <n v="1014987"/>
    <s v="25FRF31452 "/>
    <s v="Eight positions,  associated equipment, and operating expenses.   Eight positions support the oversight of the ARPA allocations awarded to DCFS "/>
    <s v="Staff to provide DCFS with sufficient capacity to provide oversight of the ARPA Allocations award to the division"/>
    <s v="Behavioral health workforce; to expand evidence based children's mental and behavioral health for government agencies and community providers"/>
    <s v="All eight positions are currently filled, of which two are with Contract/Temp workers.  The division has had problems  setting up the positions with Job #s for the download from HRDW.  JVRs need to be completed to capture 100% of the salaries and fringe benefits through 10/31/24"/>
    <x v="1"/>
    <n v="1247758"/>
    <m/>
    <n v="1247758"/>
    <n v="563387.75"/>
    <n v="36252.879999999997"/>
    <n v="599640.63"/>
    <n v="0.59078651253661374"/>
    <n v="232771"/>
    <n v="1247758"/>
    <n v="0"/>
    <n v="0"/>
    <s v="One Time Funding"/>
    <s v="N/A"/>
    <s v="N/A"/>
    <s v="No"/>
    <x v="0"/>
    <x v="2"/>
    <m/>
    <n v="648117.37"/>
  </r>
  <r>
    <x v="4"/>
    <s v="23UNBSS01"/>
    <s v=" Unified Billing Support Software"/>
    <n v="3145"/>
    <d v="2022-08-18T00:00:00"/>
    <d v="2024-12-31T00:00:00"/>
    <n v="866"/>
    <n v="1"/>
    <n v="400000"/>
    <n v="0"/>
    <n v="0"/>
    <n v="400000"/>
    <n v="400000"/>
    <n v="0"/>
    <n v="400000"/>
    <s v="23FRF31459"/>
    <s v="Contract for a software platform that allows for clinical documentation, tracking, and billing of mental health services in Nevada Schools."/>
    <s v="Funding will be used as seed dollars to implement a statewide system that the districts would be able to opt in to bill for services outside of the IEP."/>
    <s v="Integrate across systems to establish core student identity, access management, and bidirectional information exchange. Leverage and further develop the Statewide Behavioral Health Referral Use Case"/>
    <s v="100% Expended"/>
    <x v="0"/>
    <n v="400000"/>
    <m/>
    <n v="400000"/>
    <n v="400000"/>
    <m/>
    <n v="400000"/>
    <n v="1"/>
    <n v="0"/>
    <n v="400000"/>
    <n v="0"/>
    <n v="0"/>
    <s v="One Time Funding"/>
    <s v="N/A"/>
    <s v="N/A"/>
    <s v="No"/>
    <x v="2"/>
    <x v="0"/>
    <s v=" "/>
    <n v="0"/>
  </r>
  <r>
    <x v="4"/>
    <s v="23EMPLR01"/>
    <s v="DCFS - Emergency and Planned Respite -  SFY 23"/>
    <n v="3146"/>
    <d v="2022-08-18T00:00:00"/>
    <d v="2024-06-30T00:00:00"/>
    <n v="682"/>
    <n v="1"/>
    <n v="1430349"/>
    <n v="0"/>
    <n v="-1430349"/>
    <n v="0"/>
    <n v="0"/>
    <n v="0"/>
    <n v="1430349"/>
    <s v="23FRF31457 "/>
    <s v="Respite care service and support to Nevada families. Respite will allow overstretched and stressed caregivers to take a break from caring for youth with high intensity needs. "/>
    <s v="Respite care service and support to Nevada families. Respite will allow overstretched and stressed caregivers to take a break from caring for youth with high intensity needs. "/>
    <s v="Respite care service and support to Nevada families. Respite will allow overstretched and stressed caregivers to take a break from caring for youth with high intensity needs. "/>
    <s v="Contract with Magellan has been fully implemented. Services went live on 02/01/2024. Magellan and DCFS staff are actively working on outreach and referrals. "/>
    <x v="0"/>
    <n v="0"/>
    <m/>
    <n v="0"/>
    <n v="0"/>
    <m/>
    <n v="0"/>
    <n v="0"/>
    <n v="-1430349"/>
    <n v="0"/>
    <n v="0"/>
    <n v="0"/>
    <s v="One Time Funding"/>
    <n v="0"/>
    <s v="N/A"/>
    <s v="No"/>
    <x v="0"/>
    <x v="4"/>
    <s v="SFY 2023 Allocation - 100% De-obligated per amendment #2"/>
    <n v="0"/>
  </r>
  <r>
    <x v="4"/>
    <s v="23EMPLR02"/>
    <s v="DCFS - Emergency and Planned Respite -  SFY 24"/>
    <n v="3146"/>
    <d v="2023-07-01T00:00:00"/>
    <d v="2026-12-31T00:00:00"/>
    <n v="1279"/>
    <n v="0.61219702892885064"/>
    <n v="1461385"/>
    <n v="0"/>
    <n v="0"/>
    <n v="1461385"/>
    <n v="1461385"/>
    <n v="0"/>
    <n v="1461385"/>
    <s v=" L01 SFY 24"/>
    <s v="Respite care service and support to Nevada families. Respite will allow overstretched and stressed caregivers to take a break from caring for youth with high intensity needs. "/>
    <s v="Respite care service and support to Nevada families. Respite will allow overstretched and stressed caregivers to take a break from caring for youth with high intensity needs. "/>
    <s v="Respite care service and support to Nevada families. Respite will allow overstretched and stressed caregivers to take a break from caring for youth with high intensity needs. "/>
    <s v="The Magellan contract has been established to pilot a statewide Care Management Entity (CME) model for the management and organization of delivery of services for children, youth, and young adults ages 3-20 with complex behavioral health needs who may be involved in multiple systems. The CME pilot went live 2/1/24 for enrollments of these children, youth and young adults. Contract with Magellan has been fully implemented. Magellan and DCFS staff are actively working on outreach and referrals. October 2024 was adjusted to reconcile to SFY 2024 RFR plus YTD expenses in SFY 25 through 10/31/24. Magellan's contract is in the process of being amended at August BOE. Current Enrollment in Respite is 35 youth. Services will be offered statewide in July. "/>
    <x v="1"/>
    <n v="1461385"/>
    <m/>
    <n v="1461385"/>
    <n v="1291845.3"/>
    <n v="0"/>
    <n v="1291845.3"/>
    <n v="0.88398697126356163"/>
    <m/>
    <n v="1461385"/>
    <n v="0"/>
    <n v="0"/>
    <s v="One Time Funding"/>
    <n v="52"/>
    <s v="N/A"/>
    <s v="No"/>
    <x v="0"/>
    <x v="4"/>
    <s v="ok"/>
    <n v="169539.69999999995"/>
  </r>
  <r>
    <x v="4"/>
    <s v="23FTFPS01"/>
    <s v="DCFS - Family to Family Peer Support - Amendments #1 and #2 "/>
    <n v="3146"/>
    <d v="2022-08-18T00:00:00"/>
    <d v="2025-06-30T00:00:00"/>
    <n v="1047"/>
    <n v="1.0506208213944603"/>
    <n v="1957975"/>
    <n v="-49755"/>
    <n v="0"/>
    <n v="1908220"/>
    <n v="1908220"/>
    <n v="0"/>
    <n v="1957975"/>
    <s v="23FRF31456 plus L01 SFY 24 &amp; "/>
    <s v="The Family Peer Support model provides intentional support with specific focus on the parent/primary caregiver of the child. Services are designed to improve the family's capacity to care for or resolve the child/youth's emotional or behavioral needs, by providing a unique set of services that includes emotional, informational, instruction, and advocacy support."/>
    <s v="Services are designed to improve the family's capacity to care for or resolve the child/youth's emotional or behavioral needs, by providing a unique set of services that includes emotional, informational, instruction, and advocacy support."/>
    <s v="Services are designed to improve the family's capacity to care for or resolve the child/youth's emotional or behavioral needs, by providing a unique set of services that includes emotional, informational, instruction, and advocacy support."/>
    <s v=" $8.0 million for the development phase, hardware, software, and licensing. DCFS is requesting a solicitation exemption and going sole source with an existing State contracted vendor (Deloitte) that has implemented child welfare systems for numerous other states on several different vendor solutions and is not participating in the planning phases of the project. The solution will be cloud based and DCFS will maintain the software licenses. Maintaining the licenses provides the greatest flexibility in operations management options. "/>
    <x v="1"/>
    <n v="1908220"/>
    <m/>
    <n v="1908220"/>
    <n v="1399965.1"/>
    <n v="0"/>
    <n v="1399965.1"/>
    <n v="0.71500662674446813"/>
    <n v="-49755"/>
    <n v="1908220"/>
    <n v="0"/>
    <n v="0"/>
    <s v="One Time Funding"/>
    <n v="4894"/>
    <s v="N/A"/>
    <s v="No"/>
    <x v="0"/>
    <x v="4"/>
    <s v="ok"/>
    <n v="508254.89999999991"/>
  </r>
  <r>
    <x v="4"/>
    <s v="23IFIHS01"/>
    <s v="DCFS - Intensive Family In Home Services - Extension approved thru 12/31/26 for Magellan Healthcare Contract"/>
    <n v="3146"/>
    <d v="2022-08-18T00:00:00"/>
    <d v="2026-12-31T00:00:00"/>
    <n v="1596"/>
    <n v="0.68922305764411029"/>
    <n v="4905566"/>
    <n v="-29031"/>
    <n v="0"/>
    <n v="4876535"/>
    <n v="4876535"/>
    <n v="0"/>
    <n v="4905566"/>
    <s v="23FRF31455 plus L01 SFY 24 WP 24FRF31461  for de-obligation SFY 24"/>
    <s v="Intensive in-home programs are a highly intensive and specialized community-based option in a full array of services for youth with serious emotional disturbance. Multiple treatment elements are integrated by a team into a single coordinated service."/>
    <s v="Intensive in-home programs are a highly intensive and specialized community-based option in a full array of services for youth with serious emotional disturbance. Multiple treatment elements are integrated by a team into a single coordinated service."/>
    <s v="Intensive in-home programs are a highly intensive and specialized community-based option in a full array of services for youth with serious emotional disturbance. Multiple treatment elements are integrated by a team into a single coordinated service."/>
    <s v="Contract with Magellan has been fully implemented. Services went live on 02/01/2024. Magellan and DCFS staff are actively working on outreach and referrals.  October 2024 was adjusted to reconcile to SFY 2024 RFR plus YTD expenses in SFY 25 through 10/31/24.  Salaries and employee drive cost from Cat 04 &amp; 26 from SFY 24 was not included previously."/>
    <x v="2"/>
    <n v="4876535"/>
    <m/>
    <n v="4876535"/>
    <n v="2309477.46"/>
    <n v="0"/>
    <n v="2309477.46"/>
    <n v="0.47078715483595573"/>
    <n v="-29031"/>
    <n v="4876535"/>
    <n v="0"/>
    <n v="0"/>
    <s v="One Time Funding"/>
    <n v="17"/>
    <s v="N/A"/>
    <s v="No"/>
    <x v="0"/>
    <x v="4"/>
    <s v="ok"/>
    <n v="2567057.54"/>
  </r>
  <r>
    <x v="4"/>
    <s v="23SUPST3146"/>
    <s v="DCFS -ARPA Children's Behavioral Health Authority  SFY 2025-  BA  3146 (8 FTE - PCN 155, 156, 158, 159, 161, 162, 521 &amp;525) SFY 24.  "/>
    <n v="3146"/>
    <d v="2024-07-01T00:00:00"/>
    <d v="2027-02-28T00:00:00"/>
    <n v="972"/>
    <n v="0.42901234567901236"/>
    <n v="1499500"/>
    <n v="-232771"/>
    <n v="0"/>
    <n v="1266729"/>
    <n v="1266729"/>
    <n v="0"/>
    <n v="1499500"/>
    <s v="25FRF31461"/>
    <s v="Eight positions,  associated equipment, and operating expenses.   Eight positions support the Children’s Behavioral Health Authority program"/>
    <s v="Staff to provide DCFS with sufficient capacity to train and provide technical assistance to the behavioral health workforce; to expand evidence based children's mental and behavioral health for government agencies and community providers; and to provide oversight and quality assurance over children's mental/behavioral health services in Nevada. "/>
    <s v="Behavioral health workforce; to expand evidence based children's mental and behavioral health for government agencies and community providers"/>
    <s v="On target to fully expend the award by 02/28/27._x000a_All eight positions are currently filled, of which two are with Contract/Temp workers.  See above 23SUPST3145 regarding JVRs needed for Job #21027A21 to be added for salaries paid thru 10/31/24"/>
    <x v="1"/>
    <n v="1499500"/>
    <m/>
    <n v="1499500"/>
    <n v="724109.48"/>
    <n v="153862.28"/>
    <n v="877971.76"/>
    <n v="0.585509676558853"/>
    <n v="-232771"/>
    <n v="1266729"/>
    <n v="0"/>
    <n v="-232771"/>
    <s v="One Time Funding"/>
    <s v="N/A"/>
    <s v="N/A"/>
    <s v="No"/>
    <x v="0"/>
    <x v="2"/>
    <m/>
    <n v="388757.24"/>
  </r>
  <r>
    <x v="4"/>
    <s v="23WINIC01"/>
    <s v="DCFS - Wraparound Authority/intensive Care Coordination - Amendment #4 Reduced amount of award by $348"/>
    <n v="3146"/>
    <d v="2022-08-18T00:00:00"/>
    <d v="2026-12-31T00:00:00"/>
    <n v="1596"/>
    <n v="0.68922305764411029"/>
    <n v="14650032"/>
    <n v="-348"/>
    <n v="1718114.7"/>
    <n v="16367798.699999999"/>
    <n v="14650032"/>
    <n v="1717766.6999999993"/>
    <n v="14650032"/>
    <s v="23FR31454 plus L01 SFY 24"/>
    <s v="Provide intensive care coordination for a subset of youth who would benefit from the highest level of intensive care coordination that is beyond the scope of services the WIN model is designed to provide. "/>
    <s v="Youth that have been relinquished by their parents due to the intensity of their needs, those at extremely high risk of relinquishment, and those living in emergency shelters or temporary foster and alternative living arrangements."/>
    <s v="Youth that have been relinquished by their parents due to the intensity of their needs, those at extremely high risk of relinquishment, and those living in emergency shelters or temporary foster and alternative living arrangements."/>
    <s v="The Magellan contract has been established to pilot a statewide Care Management Entity (CME) model for the management and organization of delivery of services for children, youth, and young adults ages 3-20 with complex behavioral health needs who may be involved in multiple systems. The CME pilot went live 2/1/24 for enrollments of these children, youth and young adults. Contract with Magellan has been fully implemented. Magellan and DCFS staff are actively working on outreach and referrals. October 2024 was adjusted to reconcile to SFY 2024 RFR plus YTD expenses in SFY 25 through 10/31/24. June IFC work program WP25FRF31467 is pending deobligation of $5 million due to savings identified. Magellan's contract is in the process of being amended at August BOE. Current Enrollment in HFW is 74 youth, 24 youth in intensive care services for a total of 98. Services will be offered statewide in July. "/>
    <x v="2"/>
    <n v="14650032"/>
    <m/>
    <n v="14650032"/>
    <n v="6934444.3399999999"/>
    <n v="0"/>
    <n v="6934444.3399999999"/>
    <n v="0.4733398766637506"/>
    <n v="-5000000"/>
    <n v="9650032"/>
    <n v="5000000"/>
    <n v="-5000000"/>
    <s v="One Time Funding"/>
    <n v="101"/>
    <s v="N/A"/>
    <s v="No"/>
    <x v="0"/>
    <x v="4"/>
    <s v="ok"/>
    <n v="2715587.66"/>
  </r>
  <r>
    <x v="4"/>
    <s v="23CHINA01"/>
    <s v="China Springs Youth Camp - System of Care Services - Amendment #1 extended from date to 6/20/25"/>
    <n v="3147"/>
    <d v="2022-08-18T00:00:00"/>
    <d v="2025-06-30T00:00:00"/>
    <n v="1047"/>
    <n v="1"/>
    <n v="686994"/>
    <n v="0"/>
    <n v="0"/>
    <n v="686994"/>
    <n v="686994"/>
    <n v="0"/>
    <n v="686994"/>
    <s v="23FRF31471"/>
    <s v="Services to youth 12-18 and their families in the sixteen counties serviced by the Camp (all Counties except Clark) with substance use and mental health issues to reduce recidivism into the juvenile justice system. Services include teaching of cognitive and problem-solving skills, education and employment skills, group skills, provision of medication monitoring, provision licensed mental health providers to assist in assessments, screenings, and case planning."/>
    <s v="Services to youth 12-18 and their families in the sixteen counties serviced by the Camp (all Counties except Clark) with substance use and mental health issues to reduce recidivism into the juvenile justice system. "/>
    <s v="Services include teaching of cognitive and problem-solving skills, education and employment skills, group skills, provision of medication monitoring, provision licensed mental health providers to assist in assessments, screenings, and case planning."/>
    <s v="Final RFR submitted to GFO ARPA team on 7/28/25. This project has been fully expended. "/>
    <x v="0"/>
    <n v="686994"/>
    <m/>
    <n v="686994"/>
    <n v="616566.73"/>
    <m/>
    <n v="616566.73"/>
    <n v="0.89748488341965138"/>
    <n v="0"/>
    <n v="686994"/>
    <n v="0"/>
    <n v="0"/>
    <s v="One Time Funding"/>
    <n v="71"/>
    <s v="N/A"/>
    <s v="No"/>
    <x v="1"/>
    <x v="4"/>
    <s v="ok"/>
    <n v="70427.270000000019"/>
  </r>
  <r>
    <x v="4"/>
    <s v="24CHINA02"/>
    <s v="China Springs Youth Camp - System of Care Services"/>
    <n v="3147"/>
    <d v="2023-07-01T00:00:00"/>
    <d v="2025-06-30T00:00:00"/>
    <n v="730"/>
    <n v="1"/>
    <n v="797698"/>
    <n v="0"/>
    <n v="0"/>
    <n v="797698"/>
    <n v="797698"/>
    <n v="0"/>
    <n v="797698"/>
    <s v="L01 - SFY 24"/>
    <s v=" Restoration - restore 5 separate positions."/>
    <s v="Services to youth 12-18 and their families in the sixteen counties serviced by the Camp (all Counties except Clark) with substance use and mental health issues to reduce recidivism into the juvenile justice system. "/>
    <s v="Services to youth 12-18 and their families in the sixteen counties serviced by the Camp (all Counties except Clark) with substance use and mental health issues to reduce recidivism into the juvenile justice system. "/>
    <s v="Award is fully expended. Pending closeout with GFO ARPA team. _x000a_"/>
    <x v="0"/>
    <n v="797698"/>
    <m/>
    <n v="797698"/>
    <n v="797698"/>
    <m/>
    <n v="797698"/>
    <n v="1"/>
    <n v="0"/>
    <n v="797698"/>
    <n v="0"/>
    <n v="0"/>
    <s v="One Time Funding"/>
    <s v="N/A"/>
    <s v="N/A"/>
    <s v="No"/>
    <x v="1"/>
    <x v="4"/>
    <s v="ok"/>
    <n v="0"/>
  </r>
  <r>
    <x v="4"/>
    <s v="22MBCRS01a"/>
    <s v="DCFS - CHILDREN'S MENTAL HEALTH MOBILE CRISIS RESPONSE (Surge Capacity) - NNCAS"/>
    <n v="3281"/>
    <d v="2021-12-09T00:00:00"/>
    <d v="2025-06-30T00:00:00"/>
    <n v="1299"/>
    <n v="1"/>
    <n v="275909"/>
    <n v="-232558.65"/>
    <m/>
    <n v="43350.350000000006"/>
    <n v="43350.35"/>
    <n v="0"/>
    <n v="275909"/>
    <s v="22FRF32811"/>
    <s v="Fund mobile crisis expansion due to sustained growth in service utilization, partly with increase in distress, isolation, and hardship related to COVID-19.  "/>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100 % Expended"/>
    <x v="0"/>
    <n v="43350.35"/>
    <m/>
    <n v="43350.35"/>
    <n v="43350.35"/>
    <m/>
    <n v="43350.35"/>
    <n v="0.15711828900108368"/>
    <n v="-232558.65"/>
    <n v="43350.350000000006"/>
    <n v="0"/>
    <n v="0"/>
    <s v="One Time Funding"/>
    <s v="N/A"/>
    <s v="N/A"/>
    <s v="No"/>
    <x v="3"/>
    <x v="4"/>
    <s v="ok"/>
    <n v="0"/>
  </r>
  <r>
    <x v="4"/>
    <s v="22MBCRS01c"/>
    <s v="DCFS - CHILDREN'S MENTAL HEALTH MOBILE CRISIS RESPONSE (Surge Capacity) - NNCAS"/>
    <n v="3281"/>
    <d v="2022-07-01T00:00:00"/>
    <d v="2024-06-30T00:00:00"/>
    <n v="730"/>
    <n v="1"/>
    <n v="316849"/>
    <n v="0"/>
    <n v="0"/>
    <n v="316849"/>
    <n v="316849"/>
    <n v="0"/>
    <n v="316849"/>
    <s v="23FRF32811"/>
    <s v="Fund mobile crisis expansion due to sustained growth in service utilization, partly with increase in distress, isolation, and hardship related to COVID-19.  "/>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 100% Expended"/>
    <x v="0"/>
    <n v="316849"/>
    <m/>
    <n v="316849"/>
    <n v="316849"/>
    <m/>
    <n v="316849"/>
    <n v="1"/>
    <m/>
    <n v="316849"/>
    <n v="0"/>
    <n v="0"/>
    <s v="One Time Funding"/>
    <s v="N/A"/>
    <s v="N/A"/>
    <s v="No"/>
    <x v="3"/>
    <x v="2"/>
    <s v="ok"/>
    <n v="0"/>
  </r>
  <r>
    <x v="4"/>
    <s v="23DAYTP01a"/>
    <s v="Day Treatment Program - FY23 -  (PCN 2030-2041- 12 FTE &amp; associated costs).  "/>
    <n v="3281"/>
    <d v="2022-10-20T00:00:00"/>
    <d v="2025-06-30T00:00:00"/>
    <n v="984"/>
    <n v="1"/>
    <n v="593014"/>
    <n v="-255308"/>
    <m/>
    <n v="337706"/>
    <n v="337706"/>
    <n v="0"/>
    <n v="593014"/>
    <s v="23FRF32814"/>
    <s v="Day Treatment program for children 3-6 years old who are experiencing challenging behaviors,  without any options for the treatment of the child's individualized needs in existing community childcare/early learning programs.   Northern Nevada. FY 23"/>
    <s v="This program will provide EC Day Treatment services regardless of ability to pay and insured status as this EC  Day Treatment is unique and offers an unduplicated community-based program of treatment for children 3-6 years."/>
    <s v="This program will provide EC Day Treatment services regardless of ability to pay and insured status as this EC Day Treatment is unique and offers an unduplicated community-based program of treatment for children 3-6 years."/>
    <s v="This project has been closed-out. "/>
    <x v="0"/>
    <n v="337706"/>
    <m/>
    <n v="337706"/>
    <n v="12705.58"/>
    <m/>
    <n v="12705.58"/>
    <n v="2.1425430091026518E-2"/>
    <n v="-255308"/>
    <n v="337706"/>
    <n v="0"/>
    <n v="0"/>
    <s v="General Fund &amp; Medicaid starting 7/1/24 - SFY 25"/>
    <s v="N/A"/>
    <s v="N/A"/>
    <s v="No"/>
    <x v="3"/>
    <x v="4"/>
    <s v="$325,000  for playground equipment project to be completed in SFY 2025"/>
    <n v="325000.42"/>
  </r>
  <r>
    <x v="4"/>
    <s v="23DAYTP01b"/>
    <s v="Day Treatment Program - FY24 - (PCN 2030-2041 - 12 FTE, associated cost &amp; playground equipment). Program funded with GF &amp; Medicaid Reimb starting with SFY 2025"/>
    <n v="3281"/>
    <d v="2023-07-01T00:00:00"/>
    <d v="2025-06-30T00:00:00"/>
    <n v="730"/>
    <n v="1"/>
    <n v="923073"/>
    <n v="-733715"/>
    <m/>
    <n v="189358"/>
    <n v="189358"/>
    <n v="0"/>
    <n v="923073"/>
    <s v="L01 SFY 24"/>
    <s v="Day Treatment program for children 3-6 years old who are experiencing challenging behaviors,  without any options for the treatment of the child's individualized needs in existing community childcare/early learning programs.   Northern Nevada. FY 24"/>
    <s v="This program will provide EC Day Treatment services regardless of ability to pay and insured status as this EC Day Treatment is unique and offers an unduplicated community-based program of treatment for children 3-6 years."/>
    <s v="This program will provide EC Day Treatment services regardless of ability to pay and insured status as this EC Day Treatment is unique and offers an unduplicated community-based program of treatment for children 3-6 years."/>
    <s v="Final RFR is pending processing. Balance is for the playground equipment project.  "/>
    <x v="0"/>
    <n v="189358"/>
    <m/>
    <n v="189358"/>
    <n v="166862.41999999998"/>
    <m/>
    <n v="166862.41999999998"/>
    <n v="0.18076838993232386"/>
    <n v="-733715"/>
    <n v="189358"/>
    <n v="0"/>
    <n v="0"/>
    <s v="General Fund &amp; Medicaid starting 7/1/24 - SFY 25"/>
    <s v="N/A"/>
    <s v="N/A"/>
    <s v="No"/>
    <x v="3"/>
    <x v="4"/>
    <s v="Addl $22,497.00 for playground equipment project to be completed in SFY 2025 in addition to $325,000 above for a grand of $347,497.  Bal of $24,821will be used to offset GF Approp, which will be placed in reserves.  See wp 25FRF32811 to balance forward authority remaining for both 23DAYTP01a&amp;b"/>
    <n v="22495.580000000016"/>
  </r>
  <r>
    <x v="4"/>
    <s v="23MBCWC01"/>
    <s v="DCFS - Mobile Crisis Response Team - Washoe County School District - funding for both SFY 23 ($361,982) &amp; 24 ($446,313) - PCN 2150-2153 - 4 FTE &amp; associated cost. Program funded with GF &amp; Medicaid Reimb starting with SFY 2025"/>
    <n v="3281"/>
    <d v="2022-08-18T00:00:00"/>
    <d v="2024-06-30T00:00:00"/>
    <n v="682"/>
    <n v="1"/>
    <n v="808295"/>
    <n v="-591715"/>
    <m/>
    <n v="216580"/>
    <n v="216580"/>
    <n v="0"/>
    <n v="808295"/>
    <s v="23FRF32813 plus L01 SFY 24"/>
    <s v="Fund mobile crisis expansion due to sustained growth in service utilization, partly with increase in distress, isolation, and hardship related to COVID-19.  These staff would target students in Washoe County School District."/>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Project 100% Complete. "/>
    <x v="0"/>
    <n v="182957.14"/>
    <m/>
    <n v="182957.14"/>
    <n v="182957.14"/>
    <m/>
    <n v="182957.14"/>
    <n v="0.22634946399519978"/>
    <n v="-591715"/>
    <n v="216580"/>
    <n v="0"/>
    <n v="33622.859999999986"/>
    <s v="General Fund &amp; Medicaid starting 7/1/24 - SFY 25"/>
    <s v="N/A"/>
    <s v="N/A"/>
    <s v="No"/>
    <x v="3"/>
    <x v="4"/>
    <s v="Balance should be de-obligated."/>
    <n v="33622.859999999986"/>
  </r>
  <r>
    <x v="4"/>
    <s v="23NNPSI01"/>
    <s v="DCFS - PUBLIC SERVICE INTERNS - Northern Nevada -  funding for both SFY 23 ($186,468) &amp; 24 ($241,020 L01 per LCB ARPA Spreadsheet Dec 2023 -line 212 ) for PCN 2021- 2026 - 6 - 0.50 FTE positions &amp; associated cost. Program funded with GF &amp; Medicaid Reimb starting with SFY 2025"/>
    <n v="3281"/>
    <d v="2022-08-18T00:00:00"/>
    <d v="2024-06-30T00:00:00"/>
    <n v="682"/>
    <n v="1"/>
    <n v="427488"/>
    <n v="-365181"/>
    <m/>
    <n v="62307"/>
    <n v="62307"/>
    <n v="0"/>
    <n v="427488"/>
    <s v="23FRF32812 plus L01 SFY 24"/>
    <s v="To incentivize students to enter state service and address workforce shortage"/>
    <s v="These positions would enable the agency to have an internal pool of candidates for clinician positions."/>
    <s v="Recruiting difficulties that began with COVID-19 would be reduced."/>
    <s v="Project 100% Complete. "/>
    <x v="0"/>
    <n v="46972.06"/>
    <m/>
    <n v="46972.06"/>
    <n v="46972.06"/>
    <m/>
    <n v="46972.06"/>
    <n v="0.10987924807246051"/>
    <n v="-365181"/>
    <n v="62307"/>
    <n v="0"/>
    <n v="15334.940000000002"/>
    <s v="General Fund &amp; Medicaid starting 7/1/24 - SFY 25"/>
    <s v="N/A"/>
    <s v="N/A"/>
    <s v="No"/>
    <x v="3"/>
    <x v="2"/>
    <s v="Balance should be de-obligated."/>
    <n v="15334.940000000002"/>
  </r>
  <r>
    <x v="4"/>
    <s v="22DSWHD01"/>
    <s v="DCFS - DESERT WILLOW HARDENING - Amendment #2 extended the end date from 12/31/2024 to 6/30/2025      - Amendment  #3 extended the end date from 6/30/25 to 12/31/2026"/>
    <n v="3646"/>
    <d v="2022-04-08T00:00:00"/>
    <d v="2026-12-31T00:00:00"/>
    <n v="1728"/>
    <n v="0.71296296296296291"/>
    <n v="916718"/>
    <n v="0"/>
    <n v="0"/>
    <n v="916718"/>
    <n v="916718"/>
    <n v="0"/>
    <n v="916718"/>
    <s v="22FRF36462"/>
    <s v="Hardening of one 12-bed unit at the facility to provide a secure space within the facility.  Public Works awarded a contract to Builders United to complete this project, with a projected completion date of February 2025.   SPWD Contract No. 116062"/>
    <s v="The hardening of the facility will provide a space within the facility capable of providing secure mental health treatment as these youth are often rejected at privately-operated facilities and can languish in emergency rooms or juvenile detention. "/>
    <s v="Throughout the COVID-19 pandemic the facility has experienced an increase of referrals for youth experiencing mental health needs coupled with highly aggressive behavior."/>
    <s v="22DSWHD01a below combined with this project - _x000a_Completed Items:_x000a_o_x0009_Classroom HVAC and restroom areas were completed in August 2024._x000a_o_x0009_HVAC work in some administrative areas have been completed by the original vendor._x000a_o_x0009_HVAC work in a few other administrative areas began on 7/7/2025._x000a_Pending Items:_x000a_Project 1: (HVAC Replacement)_x000a_A new contract for the HVAC replacement project was secured by SPWD and the HVAC system for Phase 2 began 7/7/2025. Included in this phase will be replacement of the facility’s roof air handlers. Expected completion of all phases of the HVAC replacement is 11/2025._x000a_Project 2: (Unfinished Restrooms)_x000a_SPWD and DCFS Fiscal are working out final agreements with an emergency contractor to begin completing (hardening) the 3 demolished restrooms that have been offline since the original contract was terminated in 10/2024. According to communication received on 7/2/2025 from the SPWD Project manager, the expected completion of this project is 10/2025._x000a_Project 3: (Unit Hardening)_x000a_According to communication from SPWD Project Manager on 7/2/2025. They are “anticipating a board hearing in the next 4 weeks, then we will hopefully have more information about being able to move forward.” No expected timeline for completion has been provided regarding this."/>
    <x v="2"/>
    <n v="916718"/>
    <m/>
    <n v="916718"/>
    <n v="456583.79"/>
    <n v="0"/>
    <n v="456583.79"/>
    <n v="0.49806351571584717"/>
    <n v="0"/>
    <n v="916718"/>
    <n v="0"/>
    <n v="0"/>
    <s v="One Time Funding - Balance may be used for change orders"/>
    <s v="N/A"/>
    <s v="N/A"/>
    <s v="Yes"/>
    <x v="2"/>
    <x v="0"/>
    <s v="ok"/>
    <n v="460134.21"/>
  </r>
  <r>
    <x v="4"/>
    <s v="22DSWHD01a"/>
    <s v="DCFS - DESERT WILLOW HARDENING - Amendment #1 extended the end date from 06/30/2024 to 6/30/2025   -Amendment #2 extended the end date from 6/30/25 to 12/31/2026"/>
    <n v="3646"/>
    <d v="2022-08-08T00:00:00"/>
    <d v="2025-06-30T00:00:00"/>
    <n v="1057"/>
    <n v="1.0501419110690633"/>
    <n v="5072061"/>
    <n v="0"/>
    <n v="0"/>
    <n v="5072061"/>
    <n v="5072061"/>
    <n v="0"/>
    <n v="5072061"/>
    <s v="23FRF36463"/>
    <s v="SEE ABOVE -  ARPA Allocation 22DSWHD01 &amp; 22DSWHD01a combined funding for the same project."/>
    <s v="SEE ABOVE -  ARPA Allocation 22DSWHD01 &amp; 22DSWHD01a combined funding for the same project."/>
    <s v="SEE ABOVE -  ARPA Allocation 22DSWHD01 &amp; 22DSWHD01a combined funding for the same project."/>
    <s v="22DSWHD01 above combined with this project - See above project 22DSWHD01a for project status"/>
    <x v="2"/>
    <n v="4176131.43"/>
    <m/>
    <n v="4176131.43"/>
    <n v="1980925.43"/>
    <n v="0"/>
    <n v="1980925.43"/>
    <n v="0.39055631034405935"/>
    <n v="0"/>
    <n v="5072061"/>
    <n v="0"/>
    <n v="895929.56999999983"/>
    <s v="One Time Funding - Balance may be used for change orders"/>
    <s v="N/A"/>
    <s v="N/A"/>
    <s v="Yes"/>
    <x v="2"/>
    <x v="0"/>
    <s v="ok"/>
    <n v="3091135.5700000003"/>
  </r>
  <r>
    <x v="4"/>
    <s v="22MBCRS01b"/>
    <s v="SB 461 - CHILDREN'S MENTAL HEALTH MOBILE CRISIS RESPONSE (Surge Capacity) - SNCAS"/>
    <n v="3646"/>
    <d v="2021-12-09T00:00:00"/>
    <d v="2022-06-30T00:00:00"/>
    <n v="203"/>
    <n v="1"/>
    <n v="387386"/>
    <n v="-237066.34"/>
    <n v="0"/>
    <n v="150319.66"/>
    <n v="150319.66"/>
    <n v="0"/>
    <n v="387386"/>
    <s v="22FRF36461"/>
    <s v="Fund mobile crisis expansion due to sustained growth in service utilization, partly with increase in distress, isolation, and hardship related to COVID-19.  "/>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 100% Expended"/>
    <x v="0"/>
    <n v="150319.66"/>
    <m/>
    <n v="150319.66"/>
    <n v="150319.66"/>
    <m/>
    <n v="150319.66"/>
    <n v="0.38803586087261804"/>
    <n v="-237066.34"/>
    <n v="150319.66"/>
    <n v="0"/>
    <n v="0"/>
    <s v="One Time Funding"/>
    <s v="N/A"/>
    <s v="N/A"/>
    <s v="No"/>
    <x v="2"/>
    <x v="2"/>
    <s v="ok"/>
    <n v="0"/>
  </r>
  <r>
    <x v="4"/>
    <s v="22MBCRS01d"/>
    <s v="DCFS -  CHILDREN'S MENTAL HEALTH MOBILE CRISIS RESPONSE (Surge Capacity) - SNCAS"/>
    <n v="3646"/>
    <d v="2023-07-01T00:00:00"/>
    <d v="2024-06-30T00:00:00"/>
    <n v="365"/>
    <n v="1"/>
    <n v="444866"/>
    <n v="-3101.92"/>
    <n v="0"/>
    <n v="441764.08"/>
    <n v="441764.08"/>
    <n v="0"/>
    <n v="444866"/>
    <s v="23FRF36461"/>
    <s v="Fund mobile crisis expansion due to sustained growth in service utilization, partly with increase in distress, isolation, and hardship related to COVID-19.  "/>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 100% Expended"/>
    <x v="0"/>
    <n v="441764.08"/>
    <m/>
    <n v="441764.08"/>
    <n v="441764.08"/>
    <m/>
    <n v="441764.08"/>
    <n v="0.99302729361200903"/>
    <n v="-3101.92"/>
    <n v="441764.08"/>
    <n v="0"/>
    <n v="0"/>
    <s v="One Time Funding"/>
    <s v="N/A"/>
    <s v="N/A"/>
    <s v="No"/>
    <x v="2"/>
    <x v="2"/>
    <s v="ok"/>
    <n v="0"/>
  </r>
  <r>
    <x v="4"/>
    <s v="23LADTR01a"/>
    <s v="DCFS - LATENCY AGE DAY TREATMENT - FY 23 (PCN 2050-2057 - 8 FTE &amp; associated costs)."/>
    <n v="3646"/>
    <d v="2022-10-20T00:00:00"/>
    <d v="2023-06-30T00:00:00"/>
    <n v="253"/>
    <n v="1"/>
    <n v="544022"/>
    <n v="-492593"/>
    <n v="0"/>
    <n v="51429"/>
    <n v="51429"/>
    <n v="0"/>
    <n v="544022"/>
    <s v="23FRF36467"/>
    <s v="To create a Latency Age Day Treatment program that will provide mental health services to youths 7-11 years old with determined Severe Emotional Disturbance "/>
    <s v="Families and caregivers will benefit from comprehensive and coordinated mental health services to include child/family psychotherapy, targeted case management, psychiatric services, assessment and referrals. "/>
    <s v="Families and caregivers will benefit from comprehensive and coordinated mental health services to include child/family psychotherapy, targeted case management, psychiatric services, assessment and referrals. "/>
    <s v="Project 100% Complete.  "/>
    <x v="0"/>
    <n v="51429"/>
    <m/>
    <n v="51429"/>
    <n v="51429"/>
    <m/>
    <n v="51429"/>
    <n v="9.4534779843462216E-2"/>
    <n v="-492593"/>
    <n v="51429"/>
    <n v="0"/>
    <n v="0"/>
    <s v="General Fund &amp; Medicaid starting 7/1/24 - SFY 25"/>
    <s v="N/A"/>
    <s v="N/A"/>
    <s v="No"/>
    <x v="2"/>
    <x v="4"/>
    <s v="ok"/>
    <n v="0"/>
  </r>
  <r>
    <x v="4"/>
    <s v="23LADTR01b"/>
    <s v="DCFS - LATENCY AGE DAY TREATMENT - FY 24 (PCN 2050-2057 - 8 FTE &amp; associated cost). Program funded with GF &amp; Medicaid Reimb starting with SFY 2025"/>
    <n v="3646"/>
    <d v="2022-10-20T00:00:00"/>
    <d v="2024-06-30T00:00:00"/>
    <n v="619"/>
    <n v="1"/>
    <n v="771899"/>
    <n v="-325538"/>
    <n v="0"/>
    <n v="446361"/>
    <n v="446361"/>
    <n v="0"/>
    <n v="771899"/>
    <s v="L01 SFY 24"/>
    <s v="To create a Latency Age Day Treatment program that will provide mental health services to youths 7-11 years old with determined Severe Emotional Disturbance "/>
    <s v="Families and caregivers will benefit from comprehensive and coordinated mental health services to include child/family psychotherapy, targeted case management, psychiatric services, assessment and referrals. "/>
    <s v="Families and caregivers will benefit from comprehensive and coordinated mental health services to include child/family psychotherapy, targeted case management, psychiatric services, assessment and referrals. "/>
    <s v="Project 100% Complete. "/>
    <x v="0"/>
    <n v="403955.96"/>
    <m/>
    <n v="403955.96"/>
    <n v="403955.96"/>
    <m/>
    <n v="403955.96"/>
    <n v="0.52332748196331391"/>
    <n v="-325538"/>
    <n v="446361"/>
    <n v="0"/>
    <n v="42405.039999999979"/>
    <s v="General Fund &amp; Medicaid starting 7/1/24 - SFY 25"/>
    <s v="N/A"/>
    <s v="N/A"/>
    <s v="No"/>
    <x v="2"/>
    <x v="4"/>
    <s v="Balance should be de-obligated."/>
    <n v="42405.039999999979"/>
  </r>
  <r>
    <x v="4"/>
    <s v="23MBCCC01"/>
    <s v="DCFS - Mobile Crisis Response Team - Clark County School District - funding for both SFY 23 ($1,208,534) &amp; 24 ($1,487,527 L01) for PCN 2150-2162 - 13 FTE &amp; associated cost. Program funded with GF &amp; Medicaid Reimb starting with SFY 2025"/>
    <n v="3646"/>
    <d v="2022-08-18T00:00:00"/>
    <d v="2024-06-30T00:00:00"/>
    <n v="682"/>
    <n v="1"/>
    <n v="2689836"/>
    <n v="-1625607"/>
    <n v="0"/>
    <n v="1064229"/>
    <n v="1064229"/>
    <n v="0"/>
    <n v="2689836"/>
    <s v="23FRF36466 plus L01 SFY 24"/>
    <s v="Fund mobile crisis expansion due to sustained growth in service utilization, partly with increase in distress, isolation, and hardship related to COVID-19.  These staff would target students in Clark County School District."/>
    <s v="Mobile Crisis dispatches clinicians and caseworkers to assess for safety in community settings of family choice and provides short term stabilization to mediate community availability to start long-term therapeutic services."/>
    <s v="Mobile Crisis screens during assessment for negative impact on family from COVID and the added positions allow for increased response to community and supports proportional increase in demand for services from community families and stakeholders."/>
    <s v="Project 100% Complete. "/>
    <x v="0"/>
    <n v="1064229"/>
    <m/>
    <n v="1064229"/>
    <n v="921013.70000000007"/>
    <m/>
    <n v="921013.70000000007"/>
    <n v="0.34240515035117386"/>
    <n v="-1625607"/>
    <n v="1064229"/>
    <n v="0"/>
    <n v="0"/>
    <s v="General Fund &amp; Medicaid starting 7/1/24 - SFY 25"/>
    <s v="N/A"/>
    <s v="N/A"/>
    <s v="No"/>
    <x v="2"/>
    <x v="4"/>
    <s v="Balance should be de-obligated."/>
    <n v="143215.29999999993"/>
  </r>
  <r>
    <x v="4"/>
    <s v="23OASIS01"/>
    <s v="DCFS - Oasis Staffing"/>
    <n v="3646"/>
    <d v="2022-07-01T00:00:00"/>
    <d v="2024-06-30T00:00:00"/>
    <n v="730"/>
    <n v="1"/>
    <n v="1674380"/>
    <n v="0"/>
    <n v="0"/>
    <n v="1674380"/>
    <n v="1674380"/>
    <n v="0"/>
    <n v="1674380"/>
    <s v="23FRF36464"/>
    <s v="This would fund the temporary staffing necessary to fully operate two unlocked residential treatment homes on the West Charleston campus."/>
    <s v="The funding would support the temporary staffing needs of the Oasis program. This program provides critical residential services for the community."/>
    <s v="The Oasis program conducts an assessment prior to admissions to ensure that the clients meet the eligibility requirements for the program. "/>
    <s v="100% Expended"/>
    <x v="0"/>
    <n v="1674380"/>
    <m/>
    <n v="1674380"/>
    <n v="1674380"/>
    <m/>
    <n v="1674380"/>
    <n v="1"/>
    <n v="0"/>
    <n v="1674380"/>
    <n v="0"/>
    <n v="0"/>
    <s v="One Time Funding"/>
    <s v="N/A"/>
    <s v="N/A"/>
    <s v="No"/>
    <x v="2"/>
    <x v="2"/>
    <s v="ok"/>
    <n v="0"/>
  </r>
  <r>
    <x v="4"/>
    <s v="23SNPSI01"/>
    <s v="DCFS - Public Service Interns - Southern Nevada -  funding for both SFY 23 ($139,886) &amp; 24 ($160,680 L01) for PCN 2021-2024 - 13 FTE &amp; associated cost. Program funded with GF &amp; Medicaid Reimb starting with SFY 2025"/>
    <n v="3646"/>
    <d v="2022-08-18T00:00:00"/>
    <d v="2024-06-30T00:00:00"/>
    <n v="682"/>
    <n v="1"/>
    <n v="300566"/>
    <n v="-259758"/>
    <n v="0"/>
    <n v="40808"/>
    <n v="40808"/>
    <n v="0"/>
    <n v="300566"/>
    <s v="23FRF36465 plus L01 SFY 24"/>
    <s v="The use of Public Service Interns throughout the State of Nevada would provide a relatively low-cost method of incentivizing students to enter the State of Nevada system as a service provider by offering clinical training opportunities."/>
    <s v="These positions would enable the agency to have an internal pool of candidates for clinician positions."/>
    <s v="Recruiting difficulties that began with COVID-19 would be reduced."/>
    <s v="Project 100% Complete.  "/>
    <x v="0"/>
    <n v="35581.15"/>
    <m/>
    <n v="35581.15"/>
    <n v="35581.15"/>
    <m/>
    <n v="35581.15"/>
    <n v="0.11838048881110971"/>
    <n v="-259758"/>
    <n v="40808"/>
    <n v="0"/>
    <n v="5226.8499999999985"/>
    <s v="General Fund &amp; Medicaid starting 7/1/24 - SFY 25"/>
    <s v="N/A"/>
    <s v="N/A"/>
    <s v="No"/>
    <x v="2"/>
    <x v="2"/>
    <s v="Balance should be de-obligated."/>
    <n v="5226.8499999999985"/>
  </r>
  <r>
    <x v="4"/>
    <s v="24CMH9A01"/>
    <s v="Building 9 Renovation West Charleston Children's Mental Health Campus"/>
    <n v="3646"/>
    <d v="2024-06-13T00:00:00"/>
    <d v="2026-12-31T00:00:00"/>
    <n v="931"/>
    <n v="0.46723952738990332"/>
    <n v="3888162"/>
    <n v="0"/>
    <n v="0"/>
    <n v="3888162"/>
    <n v="3888162"/>
    <n v="0"/>
    <n v="3888162"/>
    <s v="25FRF36461"/>
    <s v="State Public Works  - design and construct kitchen and bathroom renovations and window replacements at the Southern Nevada Child and Adolescent Services West Charleston , Building 9"/>
    <s v="This request will ensure the safety and well-being of the youth being treated at the West Charleston Children's Mental Health campus.  "/>
    <s v="Clark County is currently contracting with a private vendor to provide services to boys with autism spectrum disorder in a facility on the West Charleston Campus. Similar services are needed for girls, and renovation of this facility will allow DCFS to provide much needed services for these youth with the intent that they are able to reunify with their families or have a successful placement in another setting on the continuum of care for youth with behavioral challenges. _x000a_"/>
    <s v="Clark County is in the progress of setting up multiple vendors to move existing residential services from the W. Charleston campus to a new location and expand services in increase capacity at a PRTF level of care. "/>
    <x v="2"/>
    <n v="3888162"/>
    <m/>
    <n v="3888162"/>
    <n v="83600"/>
    <n v="0"/>
    <n v="83600"/>
    <n v="0"/>
    <n v="0"/>
    <n v="3888162"/>
    <n v="0"/>
    <n v="0"/>
    <s v="N/A "/>
    <s v="N/A"/>
    <s v="N/A"/>
    <s v="Yes"/>
    <x v="4"/>
    <x v="0"/>
    <s v=" "/>
    <n v="3804562"/>
  </r>
  <r>
    <x v="4"/>
    <s v="22VOCVP01"/>
    <s v="VICTIMS OF CRIME VICTIMS PAYMENTS"/>
    <n v="4895"/>
    <d v="2022-04-08T00:00:00"/>
    <d v="2024-12-31T00:00:00"/>
    <n v="998"/>
    <n v="1"/>
    <n v="1560101"/>
    <n v="0"/>
    <n v="0"/>
    <n v="1560101"/>
    <n v="1560101"/>
    <n v="0"/>
    <n v="1560101"/>
    <s v="22FRF48951"/>
    <s v="Sub-awards to Victims of Crime Program to provide level funding to victims of crime.  "/>
    <s v="VOCA grant funding has decreased significantly over the last three years. Continue to provide support to victims of crime in Nevada."/>
    <s v="Continue to provide support to victims of crime in Nevada. "/>
    <s v="100% Expended"/>
    <x v="0"/>
    <n v="1560101"/>
    <m/>
    <n v="1560101"/>
    <n v="1560101"/>
    <m/>
    <n v="1560101"/>
    <n v="1"/>
    <m/>
    <n v="1560101"/>
    <n v="0"/>
    <n v="0"/>
    <s v="One Time Funding"/>
    <n v="514"/>
    <s v="N/A"/>
    <s v="No"/>
    <x v="0"/>
    <x v="3"/>
    <s v="ok"/>
    <n v="0"/>
  </r>
  <r>
    <x v="4"/>
    <s v="24VOCVP01"/>
    <s v="Victims of Crime Program"/>
    <n v="4895"/>
    <d v="2023-07-01T00:00:00"/>
    <d v="2025-06-30T00:00:00"/>
    <n v="730"/>
    <n v="1"/>
    <n v="575346"/>
    <n v="0"/>
    <n v="0"/>
    <n v="575346"/>
    <n v="575346"/>
    <n v="0"/>
    <n v="575346"/>
    <s v="L01 SFY 24 - $134,136; and L01 SFY 25 - $437,210"/>
    <s v="Sub-award to Victims of Crime Service Providers."/>
    <s v="VOCA grant funding has decreased significantly over the last three years. Continue to provide support to victims of crime in Nevada."/>
    <s v="Continue to provide support to victims of crime in Nevada. "/>
    <s v="Award is fully expended. _x000a_"/>
    <x v="0"/>
    <n v="575346"/>
    <m/>
    <n v="575346"/>
    <n v="575346"/>
    <m/>
    <n v="575346"/>
    <n v="1"/>
    <n v="0"/>
    <n v="575346"/>
    <n v="0"/>
    <n v="0"/>
    <s v="One Time Funding"/>
    <n v="0"/>
    <s v="N/A"/>
    <s v="No"/>
    <x v="0"/>
    <x v="3"/>
    <s v=" "/>
    <n v="0"/>
  </r>
  <r>
    <x v="4"/>
    <s v="23SUPST01a"/>
    <s v="DCFS -ARPA Oversight -  BA 3145 (8 FTE - PCN 526-533); and Children's Behavioral Health Authority - BA 3146 (8 FTE - PCN 155, 156, 158, 159, 161, 162, 521 &amp;525) SFY 23 - "/>
    <s v="3145 &amp; 3146"/>
    <d v="2022-08-18T00:00:00"/>
    <d v="2025-06-30T00:00:00"/>
    <n v="1047"/>
    <n v="1"/>
    <n v="2041322"/>
    <n v="-1856496"/>
    <n v="0"/>
    <n v="184826"/>
    <n v="184826"/>
    <n v="0"/>
    <n v="2041322"/>
    <s v="23FRF31458"/>
    <s v="Sixteen positions,  associated equipment, and operating expenses.   8 positions support the oversight of the ARPA allocations awarded to DCFS and 8 positions are assigned to the Children’s Behavioral Health Authority program.  "/>
    <s v="Staff to provide DCFS with sufficient capacity to train and provide technical assistance to the behavioral health workforce; to expand evidence based children's mental and behavioral health for government agencies and community providers; and to provide oversight and quality assurance over children's mental/behavioral health services in Nevada. "/>
    <s v="Behavioral health workforce; to expand evidence based children's mental and behavioral health for government agencies and community providers"/>
    <s v="Project complete"/>
    <x v="0"/>
    <n v="184826"/>
    <m/>
    <n v="184826"/>
    <n v="184826"/>
    <m/>
    <n v="184826"/>
    <n v="9.0542305427561157E-2"/>
    <n v="-1856496"/>
    <n v="184826"/>
    <n v="0"/>
    <n v="0"/>
    <s v="One Time Funding"/>
    <s v="N/A"/>
    <s v="N/A"/>
    <s v="No"/>
    <x v="0"/>
    <x v="2"/>
    <s v=" $1,856,496 de-obligated will be requested to be allocated to other projects  at the December 12 2024 IFC meeting."/>
    <n v="0"/>
  </r>
  <r>
    <x v="4"/>
    <s v="23SUPST01b"/>
    <s v="DCFS -ARPA Oversight -  BA 3145 (8 FTE - PCN 526-533); and Children's Behavioral Health Authority - BA 3146 (8 FTE - PCN 155, 156, 158, 159, 161, 162, 521 &amp;525) SFY 24.  "/>
    <s v="3145 &amp; 3146"/>
    <d v="2022-08-18T00:00:00"/>
    <d v="2024-08-31T00:00:00"/>
    <n v="744"/>
    <n v="1"/>
    <n v="2433016"/>
    <n v="-1126942.52"/>
    <n v="0"/>
    <n v="1306073.48"/>
    <n v="1306073.48"/>
    <n v="0"/>
    <n v="2433016"/>
    <s v="L01 SFY 24"/>
    <s v="Sixteen positions,  associated equipment, and operating expenses.   Eight positions support the oversight of the ARPA allocations awarded to DCFS and 8 positions are assigned to the Children’s Behavioral Health Authority program"/>
    <s v="Staff to provide DCFS with sufficient capacity to train and provide technical assistance to the behavioral health workforce; to expand evidence based children's mental and behavioral health for government agencies and community providers; and to provide oversight and quality assurance over children's mental/behavioral health services in Nevada. "/>
    <s v="Behavioral health workforce; to expand evidence based children's mental and behavioral health for government agencies and community providers"/>
    <s v="Project is complete for SFY 2024.  "/>
    <x v="0"/>
    <n v="1306073.48"/>
    <m/>
    <n v="1306073.48"/>
    <n v="1306073.48"/>
    <m/>
    <n v="1306073.48"/>
    <n v="0.53681253226448156"/>
    <n v="-1126942.52"/>
    <n v="1306073.48"/>
    <n v="0"/>
    <n v="0"/>
    <s v="One Time Funding"/>
    <s v="N/A"/>
    <s v="N/A"/>
    <s v="No"/>
    <x v="0"/>
    <x v="2"/>
    <s v=" "/>
    <n v="0"/>
  </r>
  <r>
    <x v="5"/>
    <s v="23NVPEP01"/>
    <s v="Nevada PEP - Community Recovery Grant"/>
    <n v="3145"/>
    <d v="2022-07-27T00:00:00"/>
    <d v="2024-09-30T00:00:00"/>
    <n v="796"/>
    <n v="1"/>
    <n v="112657"/>
    <n v="0"/>
    <n v="0"/>
    <n v="112657"/>
    <n v="112657"/>
    <n v="0"/>
    <n v="112657"/>
    <s v="23FRF31451"/>
    <s v="This program will focus on outreach to make families of children with disabilities aware of the services that are out there to serve their child. Nevada PEP will reach out to families and let them know how to seek services, how to communicate with the child's school or therapist about regressions or changes to be made, and will attend meetings with the family, and offer them support and confidence."/>
    <s v="Children with disabilities have fallen behind their same age peers overall and have regressed in mental health, reading, writing, and speech since COVID."/>
    <s v="Children with disabilities have fallen behind their same age peers overall and have regressed in mental health, reading, writing, and speech since COVID."/>
    <s v="Nevada PEP is developed a training and certiﬁcation program for Family Peer Support Services. Expenditures include the  RFR through 09/30/2024. The division will confirm that this was the FINAL RFR for 100% of the expenditures and if the balance of $5,423 will be de-obligated."/>
    <x v="0"/>
    <n v="112657"/>
    <m/>
    <n v="112657"/>
    <n v="111124.08"/>
    <m/>
    <n v="111124.08"/>
    <n v="0.98639303372182818"/>
    <n v="0"/>
    <n v="112657"/>
    <n v="0"/>
    <n v="0"/>
    <s v="One Time Funding"/>
    <n v="3115"/>
    <s v="N/A"/>
    <s v="No"/>
    <x v="0"/>
    <x v="4"/>
    <s v="ok"/>
    <n v="1532.919999999998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5E95A2-C75F-4701-8D0C-9443A48C0FA7}" name="PivotTable4"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8:B34" firstHeaderRow="1" firstDataRow="1" firstDataCol="1"/>
  <pivotFields count="40">
    <pivotField compact="0" outline="0" showAll="0" defaultSubtotal="0"/>
    <pivotField compact="0" outline="0" showAll="0" defaultSubtotal="0"/>
    <pivotField compact="0" outline="0" showAll="0" defaultSubtotal="0"/>
    <pivotField compact="0" outline="0" showAll="0" defaultSubtotal="0"/>
    <pivotField compact="0" numFmtId="14" outline="0" showAll="0" defaultSubtotal="0"/>
    <pivotField compact="0" numFmtId="14" outline="0" showAll="0" defaultSubtotal="0"/>
    <pivotField compact="0" numFmtId="1"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ubtotalTop="0" showAll="0" defaultSubtotal="0"/>
    <pivotField compact="0" numFmtId="44" outline="0" showAll="0" defaultSubtotal="0"/>
    <pivotField compact="0" outline="0" showAll="0" defaultSubtotal="0"/>
    <pivotField compact="0" outline="0" showAll="0" defaultSubtotal="0"/>
    <pivotField dataField="1" compact="0" numFmtId="44"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2"/>
        <item x="1"/>
        <item x="0"/>
        <item x="4"/>
        <item x="3"/>
      </items>
    </pivotField>
    <pivotField compact="0" outline="0" showAll="0" defaultSubtotal="0"/>
    <pivotField compact="0" outline="0" showAll="0" defaultSubtotal="0"/>
    <pivotField compact="0" numFmtId="44" outline="0" showAll="0" defaultSubtotal="0"/>
  </pivotFields>
  <rowFields count="1">
    <field x="36"/>
  </rowFields>
  <rowItems count="6">
    <i>
      <x/>
    </i>
    <i>
      <x v="1"/>
    </i>
    <i>
      <x v="2"/>
    </i>
    <i>
      <x v="3"/>
    </i>
    <i>
      <x v="4"/>
    </i>
    <i t="grand">
      <x/>
    </i>
  </rowItems>
  <colItems count="1">
    <i/>
  </colItems>
  <dataFields count="1">
    <dataField name="Sum of Revised Approved Budget" fld="29"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A11F5D5-E761-4C3C-8D14-46249BBBF876}"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6:C24" firstHeaderRow="1" firstDataRow="2" firstDataCol="1"/>
  <pivotFields count="40">
    <pivotField compact="0" outline="0" showAll="0" defaultSubtotal="0"/>
    <pivotField compact="0" outline="0" showAll="0" defaultSubtotal="0"/>
    <pivotField compact="0" outline="0" showAll="0" defaultSubtotal="0"/>
    <pivotField compact="0" outline="0" showAll="0" defaultSubtotal="0"/>
    <pivotField compact="0" numFmtId="14" outline="0" showAll="0" defaultSubtotal="0"/>
    <pivotField compact="0" numFmtId="14" outline="0" showAll="0" defaultSubtotal="0"/>
    <pivotField compact="0" numFmtId="1"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outline="0" showAll="0" defaultSubtotal="0">
      <items count="7">
        <item x="0"/>
        <item h="1" x="1"/>
        <item h="1" x="2"/>
        <item h="1" x="4"/>
        <item h="1" x="5"/>
        <item h="1" x="3"/>
        <item h="1" m="1" x="6"/>
      </items>
    </pivotField>
    <pivotField compact="0" outline="0" showAll="0" defaultSubtotal="0"/>
    <pivotField compact="0" outline="0" showAll="0" defaultSubtotal="0"/>
    <pivotField compact="0" numFmtId="44" outline="0" showAll="0" defaultSubtotal="0"/>
    <pivotField compact="0" outline="0" showAll="0" defaultSubtotal="0"/>
    <pivotField compact="0" outline="0" subtotalTop="0" showAll="0" defaultSubtotal="0"/>
    <pivotField compact="0" numFmtId="44"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axis="axisRow" compact="0" outline="0" showAll="0" defaultSubtotal="0">
      <items count="6">
        <item x="4"/>
        <item x="5"/>
        <item x="0"/>
        <item x="1"/>
        <item x="3"/>
        <item x="2"/>
      </items>
    </pivotField>
    <pivotField compact="0" outline="0" showAll="0" defaultSubtotal="0"/>
    <pivotField compact="0" numFmtId="44" outline="0" showAll="0" defaultSubtotal="0"/>
  </pivotFields>
  <rowFields count="1">
    <field x="37"/>
  </rowFields>
  <rowItems count="7">
    <i>
      <x/>
    </i>
    <i>
      <x v="1"/>
    </i>
    <i>
      <x v="2"/>
    </i>
    <i>
      <x v="3"/>
    </i>
    <i>
      <x v="4"/>
    </i>
    <i>
      <x v="5"/>
    </i>
    <i t="grand">
      <x/>
    </i>
  </rowItems>
  <colFields count="1">
    <field x="20"/>
  </colFields>
  <colItems count="2">
    <i>
      <x/>
    </i>
    <i t="grand">
      <x/>
    </i>
  </colItems>
  <dataFields count="1">
    <dataField name="Count of Area Served: Urban (Clark/Washoe), Rural or Statewide" fld="3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5C1AD96-9C33-4A3A-BD80-64E83ABBB350}"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B12" firstHeaderRow="1" firstDataRow="1" firstDataCol="1"/>
  <pivotFields count="40">
    <pivotField dataField="1" compact="0" outline="0" showAll="0"/>
    <pivotField compact="0" outline="0" showAll="0"/>
    <pivotField compact="0" outline="0" showAll="0"/>
    <pivotField compact="0" outline="0" showAll="0"/>
    <pivotField compact="0" numFmtId="14" outline="0" showAll="0"/>
    <pivotField compact="0" numFmtId="14" outline="0" showAll="0"/>
    <pivotField compact="0" numFmtId="1" outline="0" showAll="0"/>
    <pivotField compact="0" numFmtId="9" outline="0" showAll="0"/>
    <pivotField compact="0" outline="0" showAll="0"/>
    <pivotField compact="0" outline="0" showAll="0"/>
    <pivotField compact="0" outline="0" showAll="0"/>
    <pivotField compact="0" numFmtId="44" outline="0" showAll="0"/>
    <pivotField compact="0" outline="0" showAll="0"/>
    <pivotField compact="0" outline="0" showAll="0"/>
    <pivotField compact="0" numFmtId="4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44" outline="0" showAll="0"/>
    <pivotField compact="0" outline="0" showAll="0"/>
    <pivotField compact="0" outline="0" showAll="0"/>
    <pivotField compact="0" numFmtId="44" outline="0" showAll="0"/>
    <pivotField compact="0" outline="0" showAll="0"/>
    <pivotField compact="0" outline="0" showAll="0"/>
    <pivotField compact="0" numFmtId="44" outline="0" showAll="0"/>
    <pivotField compact="0" outline="0" showAll="0"/>
    <pivotField compact="0" numFmtId="44" outline="0" showAll="0"/>
    <pivotField compact="0" outline="0" showAll="0"/>
    <pivotField compact="0" outline="0" showAll="0"/>
    <pivotField compact="0" outline="0" showAll="0"/>
    <pivotField compact="0" outline="0" showAll="0"/>
    <pivotField compact="0" outline="0" showAll="0"/>
    <pivotField axis="axisRow" compact="0" outline="0" showAll="0">
      <items count="7">
        <item x="4"/>
        <item x="5"/>
        <item x="0"/>
        <item x="1"/>
        <item x="3"/>
        <item x="2"/>
        <item t="default"/>
      </items>
    </pivotField>
    <pivotField compact="0" outline="0" showAll="0"/>
    <pivotField compact="0" numFmtId="44" outline="0" showAll="0"/>
  </pivotFields>
  <rowFields count="1">
    <field x="37"/>
  </rowFields>
  <rowItems count="7">
    <i>
      <x/>
    </i>
    <i>
      <x v="1"/>
    </i>
    <i>
      <x v="2"/>
    </i>
    <i>
      <x v="3"/>
    </i>
    <i>
      <x v="4"/>
    </i>
    <i>
      <x v="5"/>
    </i>
    <i t="grand">
      <x/>
    </i>
  </rowItems>
  <colItems count="1">
    <i/>
  </colItems>
  <dataFields count="1">
    <dataField name="Count of Agency" fld="0" subtotal="count" baseField="3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9D1E15C-2B71-47B6-9194-527C5F7CABD6}"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A2" firstHeaderRow="1" firstDataRow="1" firstDataCol="0"/>
  <pivotFields count="40">
    <pivotField dataField="1" showAll="0"/>
    <pivotField showAll="0"/>
    <pivotField showAll="0"/>
    <pivotField showAll="0"/>
    <pivotField numFmtId="14" showAll="0"/>
    <pivotField numFmtId="14" showAll="0"/>
    <pivotField numFmtId="1" showAll="0"/>
    <pivotField numFmtId="9" showAll="0"/>
    <pivotField showAll="0"/>
    <pivotField showAll="0"/>
    <pivotField showAll="0"/>
    <pivotField numFmtId="44" showAll="0"/>
    <pivotField showAll="0"/>
    <pivotField showAll="0"/>
    <pivotField numFmtId="44" showAll="0"/>
    <pivotField showAll="0"/>
    <pivotField showAll="0"/>
    <pivotField showAll="0"/>
    <pivotField showAll="0"/>
    <pivotField showAll="0"/>
    <pivotField showAll="0"/>
    <pivotField showAll="0"/>
    <pivotField showAll="0"/>
    <pivotField numFmtId="44" showAll="0"/>
    <pivotField showAll="0"/>
    <pivotField showAll="0"/>
    <pivotField numFmtId="44" showAll="0"/>
    <pivotField showAll="0"/>
    <pivotField showAll="0"/>
    <pivotField numFmtId="44" showAll="0"/>
    <pivotField showAll="0"/>
    <pivotField numFmtId="44" showAll="0"/>
    <pivotField showAll="0"/>
    <pivotField showAll="0"/>
    <pivotField showAll="0"/>
    <pivotField showAll="0"/>
    <pivotField showAll="0"/>
    <pivotField showAll="0"/>
    <pivotField showAll="0"/>
    <pivotField numFmtId="44" showAll="0"/>
  </pivotFields>
  <rowItems count="1">
    <i/>
  </rowItems>
  <colItems count="1">
    <i/>
  </colItems>
  <dataFields count="1">
    <dataField name="Count of Agency"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318328F-6B04-44EA-B53A-DA6BF9BD296A}" name="PivotTable6"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7:B44" firstHeaderRow="1" firstDataRow="1" firstDataCol="1"/>
  <pivotFields count="40">
    <pivotField compact="0" outline="0" showAll="0" defaultSubtotal="0"/>
    <pivotField compact="0" outline="0" showAll="0" defaultSubtotal="0"/>
    <pivotField compact="0" outline="0" showAll="0" defaultSubtotal="0"/>
    <pivotField compact="0" outline="0" showAll="0" defaultSubtotal="0"/>
    <pivotField compact="0" numFmtId="14" outline="0" showAll="0" defaultSubtotal="0"/>
    <pivotField compact="0" numFmtId="14" outline="0" showAll="0" defaultSubtotal="0"/>
    <pivotField compact="0" numFmtId="1"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ubtotalTop="0" showAll="0" defaultSubtotal="0"/>
    <pivotField compact="0" numFmtId="44" outline="0" showAll="0" defaultSubtotal="0"/>
    <pivotField compact="0" outline="0" showAll="0" defaultSubtotal="0"/>
    <pivotField compact="0" outline="0" showAll="0" defaultSubtotal="0"/>
    <pivotField dataField="1" compact="0" numFmtId="44"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6">
        <item x="4"/>
        <item x="5"/>
        <item x="0"/>
        <item x="1"/>
        <item x="3"/>
        <item x="2"/>
      </items>
    </pivotField>
    <pivotField compact="0" outline="0" showAll="0" defaultSubtotal="0"/>
    <pivotField compact="0" numFmtId="44" outline="0" showAll="0" defaultSubtotal="0"/>
  </pivotFields>
  <rowFields count="1">
    <field x="37"/>
  </rowFields>
  <rowItems count="7">
    <i>
      <x/>
    </i>
    <i>
      <x v="1"/>
    </i>
    <i>
      <x v="2"/>
    </i>
    <i>
      <x v="3"/>
    </i>
    <i>
      <x v="4"/>
    </i>
    <i>
      <x v="5"/>
    </i>
    <i t="grand">
      <x/>
    </i>
  </rowItems>
  <colItems count="1">
    <i/>
  </colItems>
  <dataFields count="1">
    <dataField name="Sum of Revised Approved Budget" fld="29"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5ACF2C3-23CF-4F54-A785-8225F2582CEE}" name="PivotTable5"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8:C55" firstHeaderRow="0" firstDataRow="1" firstDataCol="1"/>
  <pivotFields count="40">
    <pivotField axis="axisRow" compact="0" outline="0" showAll="0" defaultSubtotal="0">
      <items count="7">
        <item x="0"/>
        <item x="1"/>
        <item m="1" x="6"/>
        <item x="2"/>
        <item x="3"/>
        <item x="4"/>
        <item x="5"/>
      </items>
    </pivotField>
    <pivotField compact="0" outline="0" showAll="0" defaultSubtotal="0"/>
    <pivotField compact="0" outline="0" showAll="0" defaultSubtotal="0"/>
    <pivotField compact="0" outline="0" showAll="0" defaultSubtotal="0"/>
    <pivotField compact="0" numFmtId="14" outline="0" showAll="0" defaultSubtotal="0"/>
    <pivotField compact="0" numFmtId="14" outline="0" showAll="0" defaultSubtotal="0"/>
    <pivotField compact="0" numFmtId="1"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4" outline="0" showAll="0" defaultSubtotal="0"/>
    <pivotField compact="0" outline="0" showAll="0" defaultSubtotal="0"/>
    <pivotField compact="0" outline="0" subtotalTop="0" showAll="0" defaultSubtotal="0"/>
    <pivotField dataField="1" compact="0" numFmtId="44" outline="0" showAll="0" defaultSubtotal="0"/>
    <pivotField compact="0" outline="0" showAll="0" defaultSubtotal="0"/>
    <pivotField compact="0" outline="0" showAll="0" defaultSubtotal="0"/>
    <pivotField dataField="1" compact="0" numFmtId="44" outline="0" showAll="0" defaultSubtotal="0"/>
    <pivotField compact="0" outline="0" showAll="0" defaultSubtotal="0"/>
    <pivotField compact="0" numFmtId="4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44" outline="0" showAll="0" defaultSubtotal="0"/>
  </pivotFields>
  <rowFields count="1">
    <field x="0"/>
  </rowFields>
  <rowItems count="7">
    <i>
      <x/>
    </i>
    <i>
      <x v="1"/>
    </i>
    <i>
      <x v="3"/>
    </i>
    <i>
      <x v="4"/>
    </i>
    <i>
      <x v="5"/>
    </i>
    <i>
      <x v="6"/>
    </i>
    <i t="grand">
      <x/>
    </i>
  </rowItems>
  <colFields count="1">
    <field x="-2"/>
  </colFields>
  <colItems count="2">
    <i>
      <x/>
    </i>
    <i i="1">
      <x v="1"/>
    </i>
  </colItems>
  <dataFields count="2">
    <dataField name="Sum of Revised Approved Budget" fld="29" baseField="0" baseItem="0" numFmtId="44"/>
    <dataField name="Sum of Total Expended_x000a_DO NOT HARDCODE" fld="26"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202E01-4F97-452D-A274-FB70D77ACF0C}" name="Table1" displayName="Table1" ref="A3:AL27" totalsRowShown="0">
  <autoFilter ref="A3:AL27" xr:uid="{B2202E01-4F97-452D-A274-FB70D77ACF0C}"/>
  <tableColumns count="38">
    <tableColumn id="1" xr3:uid="{21F530E4-A585-4B16-8DAA-02C2CC7FAF96}" name="Agency"/>
    <tableColumn id="2" xr3:uid="{9F351D8A-666F-4F0A-8847-84743E72DED2}" name="Project #"/>
    <tableColumn id="3" xr3:uid="{C71EE30F-7EE7-4629-A587-C74D41C563DD}" name=" "/>
    <tableColumn id="4" xr3:uid="{1D6D63AD-CD22-4AE6-8AE1-0F5920290928}" name="Budget Account"/>
    <tableColumn id="5" xr3:uid="{04B16891-6B9B-4A85-9574-849B5C2E9D6A}" name="Project Start Date" dataDxfId="3"/>
    <tableColumn id="6" xr3:uid="{E1B3710F-719B-4830-990C-35A738F92AF0}" name="Project End Date" dataDxfId="2"/>
    <tableColumn id="7" xr3:uid="{E103B27C-89A2-4457-903F-15D67241D87F}" name="# of Days in Project Period"/>
    <tableColumn id="8" xr3:uid="{13CA182A-5959-4678-BF1E-9C0A1099246A}" name="% of Project Period Passed"/>
    <tableColumn id="9" xr3:uid="{5750714F-C5AC-452A-B4DF-B73BF5A53CB4}" name="Original NOA Amount"/>
    <tableColumn id="10" xr3:uid="{7F722144-70A2-4195-BD97-D7166217E707}" name="Change Requests"/>
    <tableColumn id="11" xr3:uid="{BB1D8682-EF8D-45E0-97CE-CAA5C75298B1}" name="GFO/LCB Adjustments"/>
    <tableColumn id="12" xr3:uid="{67FC2951-3492-403C-8DBD-91CE425A84A4}" name="Total NOA + Change Requests + Adjustments"/>
    <tableColumn id="13" xr3:uid="{64F6C105-D6DE-40FC-AC7F-423CD6572063}" name="Most Recent NOA Amount "/>
    <tableColumn id="14" xr3:uid="{4489C816-2677-488E-B411-32D729DF136C}" name="Difference of Column L + M"/>
    <tableColumn id="15" xr3:uid="{CF1FC780-810E-40F2-AAC2-24193AC25530}" name="Original Budgeted Amount"/>
    <tableColumn id="16" xr3:uid="{7DBEF4B6-7176-40E9-8643-6AD7DA26A9DF}" name="Initial Approved Work Program #"/>
    <tableColumn id="17" xr3:uid="{0B06063F-DD18-4C90-9CF7-BAED0F57EF6F}" name="Description of Project (Limited to 1500 characters)"/>
    <tableColumn id="18" xr3:uid="{31E9B6A7-4455-4295-B9CB-8D510D95282F}" name="Brief description of structure and objectives of assistance program(s), including public health or negative economic impact experienced (Limited to 250 characters)"/>
    <tableColumn id="19" xr3:uid="{C214C88E-B6B6-4DD0-B627-8AAC62B40314}" name="Brief description of approach to ensuring the response is reasonable and proportional to a public health or negative economic impact of COVID-19. (limited to 250 characters)"/>
    <tableColumn id="20" xr3:uid="{9F83D586-2169-4AAE-8F2A-7E7EE851D6B5}" name="Narrative - Update on Project Status"/>
    <tableColumn id="21" xr3:uid="{8C8E1549-7527-474D-AADA-98CD2EC054BA}" name="Completion Status"/>
    <tableColumn id="22" xr3:uid="{770E21A6-BF77-4F6D-9CD4-5DFCDC9FDBEC}" name="Previous Obligations Reported"/>
    <tableColumn id="23" xr3:uid="{E3F8E1F8-0FFF-4E09-8F3A-D3DA8780CAB4}" name="Additional Obligations between _x000a_April 1 - April 30, 2025"/>
    <tableColumn id="24" xr3:uid="{F267D88F-B782-4DD2-A220-7D393CCB4267}" name="Total Obligations_x000a_DO NOT HARDCODE"/>
    <tableColumn id="25" xr3:uid="{C1372385-4401-4F7B-88A4-A4165C9AD854}" name="Previously Expended"/>
    <tableColumn id="26" xr3:uid="{35766C93-C575-405B-9ADE-0ED40968F50F}" name="Expended  _x000a_April 1 - April 30, 2025"/>
    <tableColumn id="27" xr3:uid="{33961D56-859F-492A-AC8F-3BDBE3225A21}" name="Total Expended_x000a_DO NOT HARDCODE"/>
    <tableColumn id="28" xr3:uid="{294147E8-763B-464C-BADC-F3D04272CE30}" name="% Expended"/>
    <tableColumn id="29" xr3:uid="{AD314286-2E6A-4AE8-A67E-1BE1F70D8BBE}" name="Approved_x000a_Adjustments (+/-)_x000a_(Work Programs + Budget Revisions)"/>
    <tableColumn id="30" xr3:uid="{DAD6766C-A836-4247-B139-134A5C3CD24A}" name="Revised Approved Budget"/>
    <tableColumn id="31" xr3:uid="{602D9C94-82D2-482B-BBB7-094EFCB070EB}" name="Difference between most Recent NOA and Revised Approved Budget"/>
    <tableColumn id="32" xr3:uid="{DF0EE50F-420F-419D-B13E-03392BA02BA2}" name="Additional Potential Deobligation Amount"/>
    <tableColumn id="33" xr3:uid="{5166144F-FB6B-4290-A483-65A881FBD083}" name="Sustainability: One Time Funding, Medicaid, Other Funding Source, Budget Request"/>
    <tableColumn id="34" xr3:uid="{F71C2046-2DDF-46A8-9BD6-73C428F51BA1}" name="# of Households/Individuals Served/Tests/etc. "/>
    <tableColumn id="35" xr3:uid="{4445C18E-3A1A-47D7-BEB3-D4EB7352E445}" name="Amount Allocated towards Evidence Based Interventions"/>
    <tableColumn id="36" xr3:uid="{DA18EBB7-5BC9-445A-873B-B744086BDAAE}" name="Is this project related to a Capital Expenditure?"/>
    <tableColumn id="37" xr3:uid="{C9AEDE07-C9FA-4755-960C-0C6B92BBF4AD}" name="Area Served: Urban (Clark/Washoe), Rural or Statewide"/>
    <tableColumn id="38" xr3:uid="{EB166D6C-F168-4187-A613-33AB7BF6FA64}" name="Topic Area: Behavioral Health (Adult or Children); Infrastructure; Public Health; Workforce; Othe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3" dT="2024-04-22T19:29:13.31" personId="{E2231ECC-C676-45E9-833C-729BC9D58A52}" id="{9FF7749B-EC37-4A4B-A3AC-A3F7367441A7}">
    <text>GFO approved de-obligation of $420.30 on 9/20/23 for SFY23</text>
  </threadedComment>
  <threadedComment ref="AC6" dT="2024-04-22T19:26:25.59" personId="{E2231ECC-C676-45E9-833C-729BC9D58A52}" id="{2D8816CC-793A-45BF-9229-A00EF7976835}">
    <text>GFO Approved De-obligation of $529 9/30/23 for SFY23</text>
  </threadedComment>
  <threadedComment ref="AC7" dT="2024-04-22T19:13:45.94" personId="{E2231ECC-C676-45E9-833C-729BC9D58A52}" id="{37BE7CCA-E6C7-40BA-AE1B-AF8E53205A9C}">
    <text>Work Program #24FRF31951 was submitted in SFY24 to de-obligate $620,664 in authority due to $620,663.74 in Prior Year Expenditures (SFY23)</text>
  </threadedComment>
  <threadedComment ref="AC8" dT="2024-04-22T19:18:24.45" personId="{E2231ECC-C676-45E9-833C-729BC9D58A52}" id="{D1C1E6D7-609A-4570-9FFC-1E5F95DA6A8C}">
    <text>SFY24 L01 budget only includes $324,450 in authority</text>
  </threadedComment>
  <threadedComment ref="F60" dT="2024-01-29T23:38:25.31" personId="{3967A72E-92C7-49E4-90C6-C452EE5A01C1}" id="{30A05FF9-F2EF-49F9-B190-D8E0D77D7493}">
    <text>GFO extended to 10/31/2026</text>
  </threadedComment>
  <threadedComment ref="AC86" dT="2024-04-09T00:50:22.58" personId="{49EC1986-8AF6-45BD-98A2-03DE5DAE410C}" id="{4A2BDA52-3795-4DC2-A6E8-FD73C88424B2}">
    <text>Remaining balance of $37,462 was de-obligated by GFO on 10/10/23. No work program completed.</text>
  </threadedComment>
  <threadedComment ref="AC88" dT="2024-04-09T00:51:39.01" personId="{49EC1986-8AF6-45BD-98A2-03DE5DAE410C}" id="{6E78CFAC-87D5-4469-BADE-BB2A86BB9928}">
    <text>Remaining balance of $200,228 was de-obligated by GFO on 10/10/23. No work program completed.</text>
  </threadedComment>
  <threadedComment ref="AC89" dT="2024-04-09T00:53:39.91" personId="{49EC1986-8AF6-45BD-98A2-03DE5DAE410C}" id="{7D33CBE7-7F2E-415D-9C63-76FE2D5C4919}">
    <text>Remaining balance of $48,000 was de-obligated by GFO on 11/03/23. No work program completed.</text>
  </threadedComment>
  <threadedComment ref="AC107" dT="2024-04-09T00:45:34.73" personId="{49EC1986-8AF6-45BD-98A2-03DE5DAE410C}" id="{116C981D-6B87-4606-98D1-FA3937EA0DD2}">
    <text xml:space="preserve">De-obligation approved by GFO on 7/14/23. No work program completed. </text>
  </threadedComment>
  <threadedComment ref="AC118" dT="2024-04-09T01:10:38.03" personId="{49EC1986-8AF6-45BD-98A2-03DE5DAE410C}" id="{5D213868-0F08-433F-9239-F79CE402A8DB}">
    <text>Remaining balance from SFY22 of $232,558.65 was de-obligated by GFO on 07/14/23. No work program completed.</text>
  </threadedComment>
  <threadedComment ref="AC126" dT="2024-04-09T01:09:33.61" personId="{49EC1986-8AF6-45BD-98A2-03DE5DAE410C}" id="{505E4241-E69D-49DA-A53C-6A3396E68B7F}">
    <text>Remaining balance from SFY22 of $237,066.34 was de-obligated by GFO on 07/14/23. No work program completed.</text>
  </threadedComment>
  <threadedComment ref="AC127" dT="2024-04-09T01:02:21.65" personId="{49EC1986-8AF6-45BD-98A2-03DE5DAE410C}" id="{E45C1079-783F-48B9-9E08-BF844F0AF8FC}">
    <text>Remaining balance of $3,101.92 was de-obligated by GFO on 7/14/23. No work program completed.</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F705-34EB-4966-AE47-BBE6EB4FD982}">
  <dimension ref="A1:H28"/>
  <sheetViews>
    <sheetView workbookViewId="0"/>
  </sheetViews>
  <sheetFormatPr defaultRowHeight="14.4" x14ac:dyDescent="0.3"/>
  <cols>
    <col min="1" max="1" width="4" bestFit="1" customWidth="1"/>
    <col min="2" max="2" width="5.44140625" bestFit="1" customWidth="1"/>
    <col min="3" max="3" width="12.33203125" bestFit="1" customWidth="1"/>
    <col min="4" max="4" width="23.5546875" bestFit="1" customWidth="1"/>
    <col min="5" max="5" width="50.5546875" style="1" customWidth="1"/>
    <col min="6" max="6" width="53.44140625" customWidth="1"/>
    <col min="7" max="7" width="46.44140625" style="1" customWidth="1"/>
    <col min="8" max="8" width="25.5546875" customWidth="1"/>
  </cols>
  <sheetData>
    <row r="1" spans="1:8" x14ac:dyDescent="0.3">
      <c r="A1" t="s">
        <v>0</v>
      </c>
      <c r="B1" t="s">
        <v>1</v>
      </c>
      <c r="C1" t="s">
        <v>2</v>
      </c>
      <c r="D1" t="s">
        <v>3</v>
      </c>
      <c r="E1" s="1" t="s">
        <v>4</v>
      </c>
      <c r="F1" t="s">
        <v>5</v>
      </c>
      <c r="G1" s="1" t="s">
        <v>6</v>
      </c>
      <c r="H1" t="s">
        <v>7</v>
      </c>
    </row>
    <row r="2" spans="1:8" ht="28.8" x14ac:dyDescent="0.3">
      <c r="A2" t="s">
        <v>8</v>
      </c>
      <c r="B2" t="s">
        <v>9</v>
      </c>
      <c r="C2" t="s">
        <v>10</v>
      </c>
      <c r="D2" t="s">
        <v>11</v>
      </c>
      <c r="E2" s="1" t="s">
        <v>12</v>
      </c>
      <c r="F2" s="1" t="s">
        <v>13</v>
      </c>
      <c r="G2" s="1" t="s">
        <v>13</v>
      </c>
      <c r="H2" s="1" t="s">
        <v>14</v>
      </c>
    </row>
    <row r="3" spans="1:8" ht="28.8" x14ac:dyDescent="0.3">
      <c r="A3" t="s">
        <v>15</v>
      </c>
      <c r="B3" t="s">
        <v>15</v>
      </c>
      <c r="C3" t="s">
        <v>16</v>
      </c>
      <c r="D3" t="s">
        <v>17</v>
      </c>
      <c r="E3" s="1" t="s">
        <v>18</v>
      </c>
      <c r="F3" s="1" t="s">
        <v>19</v>
      </c>
      <c r="G3" s="1" t="s">
        <v>19</v>
      </c>
      <c r="H3" s="1" t="s">
        <v>20</v>
      </c>
    </row>
    <row r="4" spans="1:8" x14ac:dyDescent="0.3">
      <c r="B4" t="s">
        <v>21</v>
      </c>
      <c r="D4" t="s">
        <v>22</v>
      </c>
      <c r="E4" s="1" t="s">
        <v>23</v>
      </c>
      <c r="F4" s="1" t="s">
        <v>24</v>
      </c>
      <c r="G4" s="1" t="s">
        <v>24</v>
      </c>
      <c r="H4" s="1" t="s">
        <v>25</v>
      </c>
    </row>
    <row r="5" spans="1:8" ht="28.8" x14ac:dyDescent="0.3">
      <c r="D5" t="s">
        <v>26</v>
      </c>
      <c r="E5" s="1" t="s">
        <v>27</v>
      </c>
      <c r="F5" s="1" t="s">
        <v>28</v>
      </c>
      <c r="G5" s="1" t="s">
        <v>28</v>
      </c>
    </row>
    <row r="6" spans="1:8" ht="28.8" x14ac:dyDescent="0.3">
      <c r="E6" s="1" t="s">
        <v>29</v>
      </c>
      <c r="F6" s="1" t="s">
        <v>30</v>
      </c>
      <c r="G6" s="1" t="s">
        <v>30</v>
      </c>
    </row>
    <row r="7" spans="1:8" ht="28.8" x14ac:dyDescent="0.3">
      <c r="E7" s="1" t="s">
        <v>31</v>
      </c>
      <c r="F7" s="1" t="s">
        <v>32</v>
      </c>
      <c r="G7" s="1" t="s">
        <v>32</v>
      </c>
    </row>
    <row r="8" spans="1:8" ht="28.8" x14ac:dyDescent="0.3">
      <c r="E8" s="1" t="s">
        <v>33</v>
      </c>
      <c r="F8" s="1" t="s">
        <v>34</v>
      </c>
      <c r="G8" s="1" t="s">
        <v>34</v>
      </c>
    </row>
    <row r="9" spans="1:8" ht="28.8" x14ac:dyDescent="0.3">
      <c r="E9" s="1" t="s">
        <v>35</v>
      </c>
      <c r="F9" s="1" t="s">
        <v>36</v>
      </c>
      <c r="G9" s="1" t="s">
        <v>36</v>
      </c>
    </row>
    <row r="10" spans="1:8" ht="28.8" x14ac:dyDescent="0.3">
      <c r="E10" s="1" t="s">
        <v>37</v>
      </c>
      <c r="F10" s="1" t="s">
        <v>38</v>
      </c>
      <c r="G10" s="1" t="s">
        <v>38</v>
      </c>
    </row>
    <row r="11" spans="1:8" ht="28.8" x14ac:dyDescent="0.3">
      <c r="E11" s="1" t="s">
        <v>39</v>
      </c>
      <c r="F11" s="1" t="s">
        <v>40</v>
      </c>
      <c r="G11" s="1" t="s">
        <v>40</v>
      </c>
    </row>
    <row r="12" spans="1:8" ht="28.8" x14ac:dyDescent="0.3">
      <c r="E12" s="1" t="s">
        <v>41</v>
      </c>
      <c r="F12" s="1" t="s">
        <v>42</v>
      </c>
      <c r="G12" s="1" t="s">
        <v>42</v>
      </c>
    </row>
    <row r="13" spans="1:8" x14ac:dyDescent="0.3">
      <c r="E13" s="1" t="s">
        <v>43</v>
      </c>
      <c r="F13" s="1" t="s">
        <v>44</v>
      </c>
      <c r="G13" s="1" t="s">
        <v>44</v>
      </c>
    </row>
    <row r="14" spans="1:8" ht="28.8" x14ac:dyDescent="0.3">
      <c r="E14" s="1" t="s">
        <v>45</v>
      </c>
      <c r="F14" s="1" t="s">
        <v>46</v>
      </c>
      <c r="G14" s="1" t="s">
        <v>46</v>
      </c>
    </row>
    <row r="15" spans="1:8" ht="28.8" x14ac:dyDescent="0.3">
      <c r="E15" s="1" t="s">
        <v>47</v>
      </c>
      <c r="F15" s="1" t="s">
        <v>48</v>
      </c>
      <c r="G15" s="1" t="s">
        <v>48</v>
      </c>
    </row>
    <row r="16" spans="1:8" ht="28.8" x14ac:dyDescent="0.3">
      <c r="E16" s="1" t="s">
        <v>49</v>
      </c>
      <c r="F16" s="1" t="s">
        <v>50</v>
      </c>
      <c r="G16" s="1" t="s">
        <v>50</v>
      </c>
    </row>
    <row r="17" spans="5:7" ht="28.8" x14ac:dyDescent="0.3">
      <c r="E17" s="1" t="s">
        <v>51</v>
      </c>
      <c r="F17" s="1" t="s">
        <v>52</v>
      </c>
      <c r="G17" s="1" t="s">
        <v>52</v>
      </c>
    </row>
    <row r="18" spans="5:7" ht="28.8" x14ac:dyDescent="0.3">
      <c r="E18" s="1" t="s">
        <v>53</v>
      </c>
      <c r="F18" s="1" t="s">
        <v>54</v>
      </c>
      <c r="G18" s="1" t="s">
        <v>54</v>
      </c>
    </row>
    <row r="19" spans="5:7" ht="28.8" x14ac:dyDescent="0.3">
      <c r="E19" s="1" t="s">
        <v>55</v>
      </c>
      <c r="F19" s="1" t="s">
        <v>56</v>
      </c>
      <c r="G19" s="1" t="s">
        <v>56</v>
      </c>
    </row>
    <row r="20" spans="5:7" ht="43.2" x14ac:dyDescent="0.3">
      <c r="E20" s="1" t="s">
        <v>57</v>
      </c>
      <c r="F20" s="1" t="s">
        <v>58</v>
      </c>
      <c r="G20" s="1" t="s">
        <v>58</v>
      </c>
    </row>
    <row r="21" spans="5:7" ht="28.8" x14ac:dyDescent="0.3">
      <c r="E21" s="1" t="s">
        <v>59</v>
      </c>
      <c r="F21" s="1" t="s">
        <v>60</v>
      </c>
      <c r="G21" s="1" t="s">
        <v>60</v>
      </c>
    </row>
    <row r="22" spans="5:7" ht="28.8" x14ac:dyDescent="0.3">
      <c r="E22" s="1" t="s">
        <v>61</v>
      </c>
      <c r="F22" s="1" t="s">
        <v>62</v>
      </c>
      <c r="G22" s="1" t="s">
        <v>62</v>
      </c>
    </row>
    <row r="23" spans="5:7" ht="28.8" x14ac:dyDescent="0.3">
      <c r="E23" s="1" t="s">
        <v>63</v>
      </c>
      <c r="F23" s="1" t="s">
        <v>64</v>
      </c>
      <c r="G23" s="1" t="s">
        <v>64</v>
      </c>
    </row>
    <row r="24" spans="5:7" ht="28.8" x14ac:dyDescent="0.3">
      <c r="E24" s="1" t="s">
        <v>65</v>
      </c>
      <c r="F24" s="1" t="s">
        <v>66</v>
      </c>
      <c r="G24" s="1" t="s">
        <v>66</v>
      </c>
    </row>
    <row r="25" spans="5:7" ht="28.8" x14ac:dyDescent="0.3">
      <c r="E25" s="1" t="s">
        <v>67</v>
      </c>
      <c r="F25" s="1" t="s">
        <v>68</v>
      </c>
      <c r="G25" s="1" t="s">
        <v>68</v>
      </c>
    </row>
    <row r="26" spans="5:7" ht="28.8" x14ac:dyDescent="0.3">
      <c r="E26" s="1" t="s">
        <v>69</v>
      </c>
      <c r="F26" s="1" t="s">
        <v>70</v>
      </c>
      <c r="G26" s="1" t="s">
        <v>70</v>
      </c>
    </row>
    <row r="27" spans="5:7" x14ac:dyDescent="0.3">
      <c r="E27" s="1" t="s">
        <v>71</v>
      </c>
      <c r="F27" s="1" t="s">
        <v>72</v>
      </c>
      <c r="G27" s="1" t="s">
        <v>21</v>
      </c>
    </row>
    <row r="28" spans="5:7" x14ac:dyDescent="0.3">
      <c r="E28" s="1"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E9981-54AD-4893-85D6-50E230D1C908}">
  <sheetPr>
    <tabColor rgb="FFFFFF00"/>
    <pageSetUpPr fitToPage="1"/>
  </sheetPr>
  <dimension ref="A1:AP140"/>
  <sheetViews>
    <sheetView zoomScaleNormal="100" workbookViewId="0">
      <pane xSplit="4" ySplit="2" topLeftCell="E136" activePane="bottomRight" state="frozen"/>
      <selection pane="topRight" activeCell="E1" sqref="E1"/>
      <selection pane="bottomLeft" activeCell="A3" sqref="A3"/>
      <selection pane="bottomRight" activeCell="A138" sqref="A138:XFD138"/>
    </sheetView>
  </sheetViews>
  <sheetFormatPr defaultColWidth="9.109375" defaultRowHeight="14.4" customHeight="1" x14ac:dyDescent="0.3"/>
  <cols>
    <col min="1" max="1" width="9.88671875" style="113" bestFit="1" customWidth="1"/>
    <col min="2" max="2" width="16.109375" style="113" customWidth="1"/>
    <col min="3" max="3" width="20" style="113" customWidth="1"/>
    <col min="4" max="4" width="16" style="113" bestFit="1" customWidth="1"/>
    <col min="5" max="5" width="21.6640625" style="113" customWidth="1"/>
    <col min="6" max="7" width="16" style="113" customWidth="1"/>
    <col min="8" max="8" width="16" style="115" customWidth="1"/>
    <col min="9" max="9" width="19.33203125" style="115" bestFit="1" customWidth="1"/>
    <col min="10" max="12" width="16" style="115" customWidth="1"/>
    <col min="13" max="13" width="18.88671875" style="115" customWidth="1"/>
    <col min="14" max="14" width="16" style="115" customWidth="1"/>
    <col min="15" max="15" width="20.44140625" style="113" customWidth="1"/>
    <col min="16" max="16" width="18.5546875" style="116" bestFit="1" customWidth="1"/>
    <col min="17" max="17" width="40" style="117" customWidth="1"/>
    <col min="18" max="18" width="40.33203125" style="113" customWidth="1"/>
    <col min="19" max="19" width="28.109375" style="113" customWidth="1"/>
    <col min="20" max="20" width="81.5546875" style="147" customWidth="1"/>
    <col min="21" max="21" width="16" style="117" bestFit="1" customWidth="1"/>
    <col min="22" max="22" width="20.44140625" style="115" customWidth="1"/>
    <col min="23" max="24" width="16" style="115" customWidth="1"/>
    <col min="25" max="25" width="21.44140625" style="115" customWidth="1"/>
    <col min="26" max="26" width="19.33203125" style="115" customWidth="1"/>
    <col min="27" max="27" width="16" style="113" bestFit="1" customWidth="1"/>
    <col min="28" max="28" width="14.33203125" style="113" bestFit="1" customWidth="1"/>
    <col min="29" max="29" width="19" style="118" bestFit="1" customWidth="1"/>
    <col min="30" max="30" width="16" style="113" bestFit="1" customWidth="1"/>
    <col min="31" max="31" width="16" style="119" bestFit="1" customWidth="1"/>
    <col min="32" max="32" width="20.44140625" style="120" bestFit="1" customWidth="1"/>
    <col min="33" max="33" width="37.88671875" style="121" bestFit="1" customWidth="1"/>
    <col min="34" max="34" width="16" style="122" bestFit="1" customWidth="1"/>
    <col min="35" max="35" width="16" style="123" bestFit="1" customWidth="1"/>
    <col min="36" max="36" width="16" style="113" bestFit="1" customWidth="1"/>
    <col min="37" max="37" width="25.44140625" style="113" bestFit="1" customWidth="1"/>
    <col min="38" max="38" width="17.109375" style="113" bestFit="1" customWidth="1"/>
    <col min="39" max="39" width="25.33203125" style="113" customWidth="1"/>
    <col min="40" max="40" width="16" style="113" bestFit="1" customWidth="1"/>
    <col min="41" max="41" width="13" style="113" bestFit="1" customWidth="1"/>
    <col min="42" max="16384" width="9.109375" style="113"/>
  </cols>
  <sheetData>
    <row r="1" spans="1:42" s="37" customFormat="1" ht="30" customHeight="1" x14ac:dyDescent="0.3">
      <c r="A1" s="111" t="s">
        <v>73</v>
      </c>
      <c r="B1" s="112">
        <v>45901</v>
      </c>
      <c r="C1" s="113"/>
      <c r="D1" s="113"/>
      <c r="E1" s="114" t="s">
        <v>74</v>
      </c>
      <c r="F1" s="114"/>
      <c r="G1" s="113"/>
      <c r="H1" s="115"/>
      <c r="I1" s="115"/>
      <c r="J1" s="115"/>
      <c r="K1" s="115"/>
      <c r="L1" s="115"/>
      <c r="M1" s="115"/>
      <c r="N1" s="115"/>
      <c r="O1" s="113"/>
      <c r="P1" s="116"/>
      <c r="Q1" s="117" t="s">
        <v>75</v>
      </c>
      <c r="R1" s="113"/>
      <c r="S1" s="113"/>
      <c r="T1" s="147"/>
      <c r="U1" s="117"/>
      <c r="V1" s="115"/>
      <c r="W1" s="115"/>
      <c r="X1" s="115"/>
      <c r="Y1" s="115" t="s">
        <v>76</v>
      </c>
      <c r="Z1" s="162" t="s">
        <v>76</v>
      </c>
      <c r="AA1" s="113" t="s">
        <v>76</v>
      </c>
      <c r="AB1" s="113"/>
      <c r="AC1" s="118" t="s">
        <v>76</v>
      </c>
      <c r="AD1" s="113" t="s">
        <v>76</v>
      </c>
      <c r="AE1" s="119"/>
      <c r="AF1" s="120"/>
      <c r="AG1" s="121"/>
      <c r="AH1" s="122"/>
      <c r="AI1" s="123"/>
      <c r="AJ1" s="112"/>
      <c r="AK1" s="112"/>
      <c r="AL1" s="112"/>
      <c r="AM1" s="113"/>
      <c r="AN1" s="113"/>
      <c r="AO1" s="113"/>
      <c r="AP1" s="113"/>
    </row>
    <row r="2" spans="1:42" ht="100.8" x14ac:dyDescent="0.3">
      <c r="A2" s="111" t="s">
        <v>77</v>
      </c>
      <c r="B2" s="111" t="s">
        <v>78</v>
      </c>
      <c r="C2" s="111" t="s">
        <v>76</v>
      </c>
      <c r="D2" s="111" t="s">
        <v>79</v>
      </c>
      <c r="E2" s="111" t="s">
        <v>80</v>
      </c>
      <c r="F2" s="111" t="s">
        <v>81</v>
      </c>
      <c r="G2" s="111" t="s">
        <v>82</v>
      </c>
      <c r="H2" s="111" t="s">
        <v>83</v>
      </c>
      <c r="I2" s="124" t="s">
        <v>84</v>
      </c>
      <c r="J2" s="124" t="s">
        <v>85</v>
      </c>
      <c r="K2" s="124" t="s">
        <v>86</v>
      </c>
      <c r="L2" s="124" t="s">
        <v>87</v>
      </c>
      <c r="M2" s="124" t="s">
        <v>88</v>
      </c>
      <c r="N2" s="124" t="s">
        <v>89</v>
      </c>
      <c r="O2" s="156" t="s">
        <v>90</v>
      </c>
      <c r="P2" s="157" t="s">
        <v>91</v>
      </c>
      <c r="Q2" s="111" t="s">
        <v>92</v>
      </c>
      <c r="R2" s="173" t="s">
        <v>93</v>
      </c>
      <c r="S2" s="111" t="s">
        <v>94</v>
      </c>
      <c r="T2" s="148" t="s">
        <v>95</v>
      </c>
      <c r="U2" s="125" t="s">
        <v>96</v>
      </c>
      <c r="V2" s="156" t="s">
        <v>97</v>
      </c>
      <c r="W2" s="156" t="s">
        <v>98</v>
      </c>
      <c r="X2" s="125" t="s">
        <v>99</v>
      </c>
      <c r="Y2" s="169" t="s">
        <v>100</v>
      </c>
      <c r="Z2" s="182" t="s">
        <v>101</v>
      </c>
      <c r="AA2" s="170" t="s">
        <v>102</v>
      </c>
      <c r="AB2" s="126" t="s">
        <v>103</v>
      </c>
      <c r="AC2" s="127" t="s">
        <v>104</v>
      </c>
      <c r="AD2" s="125" t="s">
        <v>105</v>
      </c>
      <c r="AE2" s="124" t="s">
        <v>106</v>
      </c>
      <c r="AF2" s="128" t="s">
        <v>107</v>
      </c>
      <c r="AG2" s="129" t="s">
        <v>108</v>
      </c>
      <c r="AH2" s="126" t="s">
        <v>109</v>
      </c>
      <c r="AI2" s="130" t="s">
        <v>110</v>
      </c>
      <c r="AJ2" s="111" t="s">
        <v>111</v>
      </c>
      <c r="AK2" s="111" t="s">
        <v>112</v>
      </c>
      <c r="AL2" s="111" t="s">
        <v>113</v>
      </c>
      <c r="AM2" s="111" t="s">
        <v>114</v>
      </c>
      <c r="AN2" s="131" t="s">
        <v>115</v>
      </c>
      <c r="AO2" s="132"/>
      <c r="AP2" s="37"/>
    </row>
    <row r="3" spans="1:42" ht="43.2" x14ac:dyDescent="0.3">
      <c r="A3" s="37">
        <v>400</v>
      </c>
      <c r="B3" s="35" t="s">
        <v>116</v>
      </c>
      <c r="C3" s="35" t="s">
        <v>117</v>
      </c>
      <c r="D3" s="35">
        <v>3150</v>
      </c>
      <c r="E3" s="38">
        <v>44854</v>
      </c>
      <c r="F3" s="38">
        <v>45107</v>
      </c>
      <c r="G3" s="39">
        <f t="shared" ref="G3:G16" si="0">F3-E3</f>
        <v>253</v>
      </c>
      <c r="H3" s="40">
        <f t="shared" ref="H3:H34" si="1">IF(U3="Completed",1,($B$1-E3)/G3)</f>
        <v>1</v>
      </c>
      <c r="I3" s="41">
        <v>13449</v>
      </c>
      <c r="J3" s="41">
        <v>0</v>
      </c>
      <c r="K3" s="41">
        <v>0</v>
      </c>
      <c r="L3" s="42">
        <f t="shared" ref="L3:L16" si="2">I3+J3+K3</f>
        <v>13449</v>
      </c>
      <c r="M3" s="41">
        <v>13449</v>
      </c>
      <c r="N3" s="42">
        <f t="shared" ref="N3:N16" si="3">L3-M3</f>
        <v>0</v>
      </c>
      <c r="O3" s="45">
        <v>13449</v>
      </c>
      <c r="P3" s="45" t="s">
        <v>118</v>
      </c>
      <c r="Q3" s="35" t="s">
        <v>119</v>
      </c>
      <c r="R3" s="35" t="s">
        <v>21</v>
      </c>
      <c r="S3" s="35" t="s">
        <v>21</v>
      </c>
      <c r="T3" s="35" t="s">
        <v>120</v>
      </c>
      <c r="U3" s="35" t="s">
        <v>26</v>
      </c>
      <c r="V3" s="41">
        <v>13028.7</v>
      </c>
      <c r="W3" s="41"/>
      <c r="X3" s="42">
        <f t="shared" ref="X3:X34" si="4">V3+W3</f>
        <v>13028.7</v>
      </c>
      <c r="Y3" s="41">
        <v>13028.7</v>
      </c>
      <c r="Z3" s="41"/>
      <c r="AA3" s="42">
        <f t="shared" ref="AA3:AA34" si="5">Y3+Z3</f>
        <v>13028.7</v>
      </c>
      <c r="AB3" s="43">
        <f t="shared" ref="AB3:AB34" si="6">AA3/O3</f>
        <v>0.96874860584430078</v>
      </c>
      <c r="AC3" s="47">
        <v>-420.3</v>
      </c>
      <c r="AD3" s="42">
        <f t="shared" ref="AD3:AD39" si="7">O3+AC3</f>
        <v>13028.7</v>
      </c>
      <c r="AE3" s="42">
        <f t="shared" ref="AE3:AE34" si="8">M3-AD3</f>
        <v>420.29999999999927</v>
      </c>
      <c r="AF3" s="44">
        <f t="shared" ref="AF3:AF18" si="9">AD3-X3</f>
        <v>0</v>
      </c>
      <c r="AG3" s="45" t="s">
        <v>121</v>
      </c>
      <c r="AH3" s="35" t="s">
        <v>21</v>
      </c>
      <c r="AI3" s="35" t="s">
        <v>21</v>
      </c>
      <c r="AJ3" s="35" t="s">
        <v>15</v>
      </c>
      <c r="AK3" s="35" t="s">
        <v>25</v>
      </c>
      <c r="AL3" s="35" t="s">
        <v>122</v>
      </c>
      <c r="AM3" s="37"/>
      <c r="AN3" s="42">
        <f t="shared" ref="AN3:AN34" si="10">AD3-AA3</f>
        <v>0</v>
      </c>
      <c r="AO3" s="37"/>
      <c r="AP3" s="37"/>
    </row>
    <row r="4" spans="1:42" s="132" customFormat="1" ht="87.75" customHeight="1" x14ac:dyDescent="0.3">
      <c r="A4" s="37">
        <v>400</v>
      </c>
      <c r="B4" s="35" t="s">
        <v>123</v>
      </c>
      <c r="C4" s="35" t="s">
        <v>124</v>
      </c>
      <c r="D4" s="35">
        <v>3195</v>
      </c>
      <c r="E4" s="38">
        <v>44670</v>
      </c>
      <c r="F4" s="38">
        <v>44742</v>
      </c>
      <c r="G4" s="39">
        <f t="shared" si="0"/>
        <v>72</v>
      </c>
      <c r="H4" s="40">
        <f t="shared" si="1"/>
        <v>1</v>
      </c>
      <c r="I4" s="41">
        <v>16074</v>
      </c>
      <c r="J4" s="41">
        <v>0</v>
      </c>
      <c r="K4" s="41">
        <v>0</v>
      </c>
      <c r="L4" s="42">
        <f t="shared" si="2"/>
        <v>16074</v>
      </c>
      <c r="M4" s="41">
        <v>16074</v>
      </c>
      <c r="N4" s="42">
        <f t="shared" si="3"/>
        <v>0</v>
      </c>
      <c r="O4" s="41">
        <v>16074</v>
      </c>
      <c r="P4" s="41" t="s">
        <v>125</v>
      </c>
      <c r="Q4" s="35" t="s">
        <v>126</v>
      </c>
      <c r="R4" s="35" t="s">
        <v>21</v>
      </c>
      <c r="S4" s="35" t="s">
        <v>21</v>
      </c>
      <c r="T4" s="35" t="s">
        <v>127</v>
      </c>
      <c r="U4" s="35" t="s">
        <v>26</v>
      </c>
      <c r="V4" s="41">
        <v>16073.49</v>
      </c>
      <c r="W4" s="41"/>
      <c r="X4" s="42">
        <f t="shared" si="4"/>
        <v>16073.49</v>
      </c>
      <c r="Y4" s="41">
        <v>16073.49</v>
      </c>
      <c r="Z4" s="41"/>
      <c r="AA4" s="42">
        <f t="shared" si="5"/>
        <v>16073.49</v>
      </c>
      <c r="AB4" s="43">
        <f t="shared" si="6"/>
        <v>0.9999682717431877</v>
      </c>
      <c r="AC4" s="47">
        <v>-0.51</v>
      </c>
      <c r="AD4" s="42">
        <f t="shared" si="7"/>
        <v>16073.49</v>
      </c>
      <c r="AE4" s="42">
        <f t="shared" si="8"/>
        <v>0.51000000000021828</v>
      </c>
      <c r="AF4" s="44">
        <f t="shared" si="9"/>
        <v>0</v>
      </c>
      <c r="AG4" s="45" t="s">
        <v>121</v>
      </c>
      <c r="AH4" s="35" t="s">
        <v>21</v>
      </c>
      <c r="AI4" s="35" t="s">
        <v>21</v>
      </c>
      <c r="AJ4" s="35" t="s">
        <v>15</v>
      </c>
      <c r="AK4" s="35" t="s">
        <v>25</v>
      </c>
      <c r="AL4" s="35" t="s">
        <v>122</v>
      </c>
      <c r="AM4" s="37"/>
      <c r="AN4" s="42">
        <f t="shared" si="10"/>
        <v>0</v>
      </c>
      <c r="AO4" s="37"/>
      <c r="AP4" s="113"/>
    </row>
    <row r="5" spans="1:42" s="37" customFormat="1" ht="127.5" customHeight="1" x14ac:dyDescent="0.3">
      <c r="A5" s="37">
        <v>400</v>
      </c>
      <c r="B5" s="35" t="s">
        <v>128</v>
      </c>
      <c r="C5" s="35" t="s">
        <v>129</v>
      </c>
      <c r="D5" s="35">
        <v>3195</v>
      </c>
      <c r="E5" s="38">
        <v>44790</v>
      </c>
      <c r="F5" s="38">
        <v>45657</v>
      </c>
      <c r="G5" s="39">
        <f t="shared" si="0"/>
        <v>867</v>
      </c>
      <c r="H5" s="40">
        <f t="shared" si="1"/>
        <v>1</v>
      </c>
      <c r="I5" s="41">
        <v>250000</v>
      </c>
      <c r="J5" s="41">
        <v>0</v>
      </c>
      <c r="K5" s="41">
        <v>0</v>
      </c>
      <c r="L5" s="42">
        <f t="shared" si="2"/>
        <v>250000</v>
      </c>
      <c r="M5" s="41">
        <v>250000</v>
      </c>
      <c r="N5" s="42">
        <f t="shared" si="3"/>
        <v>0</v>
      </c>
      <c r="O5" s="41">
        <v>250000</v>
      </c>
      <c r="P5" s="41" t="s">
        <v>130</v>
      </c>
      <c r="Q5" s="35" t="s">
        <v>131</v>
      </c>
      <c r="R5" s="35" t="s">
        <v>21</v>
      </c>
      <c r="S5" s="35" t="s">
        <v>21</v>
      </c>
      <c r="T5" s="35" t="s">
        <v>132</v>
      </c>
      <c r="U5" s="35" t="s">
        <v>26</v>
      </c>
      <c r="V5" s="41">
        <v>250000</v>
      </c>
      <c r="W5" s="41"/>
      <c r="X5" s="42">
        <f t="shared" si="4"/>
        <v>250000</v>
      </c>
      <c r="Y5" s="41">
        <v>250000</v>
      </c>
      <c r="Z5" s="41"/>
      <c r="AA5" s="42">
        <f t="shared" si="5"/>
        <v>250000</v>
      </c>
      <c r="AB5" s="43">
        <f t="shared" si="6"/>
        <v>1</v>
      </c>
      <c r="AC5" s="46"/>
      <c r="AD5" s="42">
        <f t="shared" si="7"/>
        <v>250000</v>
      </c>
      <c r="AE5" s="42">
        <f t="shared" si="8"/>
        <v>0</v>
      </c>
      <c r="AF5" s="44">
        <f t="shared" si="9"/>
        <v>0</v>
      </c>
      <c r="AG5" s="45" t="s">
        <v>121</v>
      </c>
      <c r="AH5" s="35" t="s">
        <v>21</v>
      </c>
      <c r="AI5" s="35" t="s">
        <v>21</v>
      </c>
      <c r="AJ5" s="35" t="s">
        <v>15</v>
      </c>
      <c r="AK5" s="35" t="s">
        <v>25</v>
      </c>
      <c r="AL5" s="35" t="s">
        <v>133</v>
      </c>
      <c r="AN5" s="42">
        <f t="shared" si="10"/>
        <v>0</v>
      </c>
      <c r="AP5" s="132"/>
    </row>
    <row r="6" spans="1:42" s="37" customFormat="1" ht="28.8" x14ac:dyDescent="0.3">
      <c r="A6" s="37">
        <v>400</v>
      </c>
      <c r="B6" s="35" t="s">
        <v>134</v>
      </c>
      <c r="C6" s="35" t="s">
        <v>135</v>
      </c>
      <c r="D6" s="35">
        <v>3195</v>
      </c>
      <c r="E6" s="38">
        <v>44854</v>
      </c>
      <c r="F6" s="38">
        <v>45107</v>
      </c>
      <c r="G6" s="39">
        <f t="shared" si="0"/>
        <v>253</v>
      </c>
      <c r="H6" s="40">
        <f t="shared" si="1"/>
        <v>1</v>
      </c>
      <c r="I6" s="41">
        <v>6724</v>
      </c>
      <c r="J6" s="41">
        <v>0</v>
      </c>
      <c r="K6" s="41">
        <v>0</v>
      </c>
      <c r="L6" s="42">
        <f t="shared" si="2"/>
        <v>6724</v>
      </c>
      <c r="M6" s="41">
        <v>6724</v>
      </c>
      <c r="N6" s="42">
        <f t="shared" si="3"/>
        <v>0</v>
      </c>
      <c r="O6" s="45">
        <v>6724</v>
      </c>
      <c r="P6" s="45" t="s">
        <v>136</v>
      </c>
      <c r="Q6" s="35" t="s">
        <v>137</v>
      </c>
      <c r="R6" s="35" t="s">
        <v>21</v>
      </c>
      <c r="S6" s="35" t="s">
        <v>21</v>
      </c>
      <c r="T6" s="35" t="s">
        <v>120</v>
      </c>
      <c r="U6" s="35" t="s">
        <v>26</v>
      </c>
      <c r="V6" s="45">
        <v>6195</v>
      </c>
      <c r="W6" s="41"/>
      <c r="X6" s="42">
        <f t="shared" si="4"/>
        <v>6195</v>
      </c>
      <c r="Y6" s="45">
        <v>6195</v>
      </c>
      <c r="Z6" s="45"/>
      <c r="AA6" s="42">
        <f t="shared" si="5"/>
        <v>6195</v>
      </c>
      <c r="AB6" s="43">
        <f t="shared" si="6"/>
        <v>0.92132659131469363</v>
      </c>
      <c r="AC6" s="47">
        <v>-529</v>
      </c>
      <c r="AD6" s="42">
        <f t="shared" si="7"/>
        <v>6195</v>
      </c>
      <c r="AE6" s="42">
        <f t="shared" si="8"/>
        <v>529</v>
      </c>
      <c r="AF6" s="44">
        <f t="shared" si="9"/>
        <v>0</v>
      </c>
      <c r="AG6" s="45" t="s">
        <v>121</v>
      </c>
      <c r="AH6" s="35" t="s">
        <v>21</v>
      </c>
      <c r="AI6" s="35" t="s">
        <v>21</v>
      </c>
      <c r="AJ6" s="35" t="s">
        <v>15</v>
      </c>
      <c r="AK6" s="35" t="s">
        <v>25</v>
      </c>
      <c r="AL6" s="35" t="s">
        <v>122</v>
      </c>
      <c r="AN6" s="42">
        <f t="shared" si="10"/>
        <v>0</v>
      </c>
    </row>
    <row r="7" spans="1:42" s="37" customFormat="1" ht="273.60000000000002" x14ac:dyDescent="0.3">
      <c r="A7" s="37">
        <v>400</v>
      </c>
      <c r="B7" s="35" t="s">
        <v>138</v>
      </c>
      <c r="C7" s="35" t="s">
        <v>139</v>
      </c>
      <c r="D7" s="35">
        <v>3195</v>
      </c>
      <c r="E7" s="38">
        <v>44854</v>
      </c>
      <c r="F7" s="38">
        <v>46203</v>
      </c>
      <c r="G7" s="39">
        <f t="shared" si="0"/>
        <v>1349</v>
      </c>
      <c r="H7" s="40">
        <f t="shared" si="1"/>
        <v>0.77613046701260191</v>
      </c>
      <c r="I7" s="41">
        <v>15000000</v>
      </c>
      <c r="J7" s="41">
        <v>0</v>
      </c>
      <c r="K7" s="41">
        <v>0</v>
      </c>
      <c r="L7" s="42">
        <f t="shared" si="2"/>
        <v>15000000</v>
      </c>
      <c r="M7" s="41">
        <v>15000000</v>
      </c>
      <c r="N7" s="42">
        <f t="shared" si="3"/>
        <v>0</v>
      </c>
      <c r="O7" s="41">
        <v>15000000</v>
      </c>
      <c r="P7" s="41" t="s">
        <v>140</v>
      </c>
      <c r="Q7" s="35" t="s">
        <v>141</v>
      </c>
      <c r="R7" s="35" t="s">
        <v>21</v>
      </c>
      <c r="S7" s="35" t="s">
        <v>21</v>
      </c>
      <c r="T7" s="35" t="s">
        <v>142</v>
      </c>
      <c r="U7" s="35" t="s">
        <v>22</v>
      </c>
      <c r="V7" s="41">
        <v>15000000</v>
      </c>
      <c r="W7" s="41"/>
      <c r="X7" s="42">
        <f t="shared" si="4"/>
        <v>15000000</v>
      </c>
      <c r="Y7" s="41">
        <v>9715811.7200000025</v>
      </c>
      <c r="Z7" s="41"/>
      <c r="AA7" s="42">
        <f t="shared" si="5"/>
        <v>9715811.7200000025</v>
      </c>
      <c r="AB7" s="43">
        <f t="shared" si="6"/>
        <v>0.64772078133333355</v>
      </c>
      <c r="AC7" s="41"/>
      <c r="AD7" s="42">
        <f t="shared" si="7"/>
        <v>15000000</v>
      </c>
      <c r="AE7" s="42">
        <f t="shared" si="8"/>
        <v>0</v>
      </c>
      <c r="AF7" s="44">
        <f t="shared" si="9"/>
        <v>0</v>
      </c>
      <c r="AG7" s="45" t="s">
        <v>121</v>
      </c>
      <c r="AH7" s="35" t="s">
        <v>21</v>
      </c>
      <c r="AI7" s="35" t="s">
        <v>21</v>
      </c>
      <c r="AJ7" s="35" t="s">
        <v>8</v>
      </c>
      <c r="AK7" s="35" t="s">
        <v>25</v>
      </c>
      <c r="AL7" s="35" t="s">
        <v>122</v>
      </c>
      <c r="AM7" s="35" t="s">
        <v>143</v>
      </c>
      <c r="AN7" s="42">
        <f t="shared" si="10"/>
        <v>5284188.2799999975</v>
      </c>
    </row>
    <row r="8" spans="1:42" s="37" customFormat="1" ht="244.8" x14ac:dyDescent="0.3">
      <c r="A8" s="37">
        <v>402</v>
      </c>
      <c r="B8" s="35" t="s">
        <v>144</v>
      </c>
      <c r="C8" s="35" t="s">
        <v>145</v>
      </c>
      <c r="D8" s="35">
        <v>3276</v>
      </c>
      <c r="E8" s="38">
        <v>44854</v>
      </c>
      <c r="F8" s="38">
        <v>46203</v>
      </c>
      <c r="G8" s="39">
        <f t="shared" si="0"/>
        <v>1349</v>
      </c>
      <c r="H8" s="40">
        <f t="shared" si="1"/>
        <v>0.77613046701260191</v>
      </c>
      <c r="I8" s="41">
        <v>368100</v>
      </c>
      <c r="J8" s="41">
        <v>0</v>
      </c>
      <c r="K8" s="41">
        <v>0</v>
      </c>
      <c r="L8" s="42">
        <f t="shared" si="2"/>
        <v>368100</v>
      </c>
      <c r="M8" s="41">
        <v>368100</v>
      </c>
      <c r="N8" s="42">
        <f t="shared" si="3"/>
        <v>0</v>
      </c>
      <c r="O8" s="41">
        <v>368100</v>
      </c>
      <c r="P8" s="41" t="s">
        <v>146</v>
      </c>
      <c r="Q8" s="35" t="s">
        <v>147</v>
      </c>
      <c r="R8" s="35" t="s">
        <v>21</v>
      </c>
      <c r="S8" s="35" t="s">
        <v>21</v>
      </c>
      <c r="T8" s="35" t="s">
        <v>148</v>
      </c>
      <c r="U8" s="35" t="s">
        <v>22</v>
      </c>
      <c r="V8" s="41">
        <v>254944.8</v>
      </c>
      <c r="W8" s="41"/>
      <c r="X8" s="42">
        <f t="shared" si="4"/>
        <v>254944.8</v>
      </c>
      <c r="Y8" s="41">
        <f>169827.47+38034.92</f>
        <v>207862.39</v>
      </c>
      <c r="Z8" s="41">
        <v>46818.01</v>
      </c>
      <c r="AA8" s="42">
        <f>Y8+Z8</f>
        <v>254680.40000000002</v>
      </c>
      <c r="AB8" s="43">
        <f t="shared" si="6"/>
        <v>0.69187829394186373</v>
      </c>
      <c r="AC8" s="46"/>
      <c r="AD8" s="42">
        <f>O8+AC8</f>
        <v>368100</v>
      </c>
      <c r="AE8" s="42">
        <f t="shared" si="8"/>
        <v>0</v>
      </c>
      <c r="AF8" s="44">
        <f>AD8-X8</f>
        <v>113155.20000000001</v>
      </c>
      <c r="AG8" s="45" t="s">
        <v>121</v>
      </c>
      <c r="AH8" s="35" t="s">
        <v>21</v>
      </c>
      <c r="AI8" s="35" t="s">
        <v>21</v>
      </c>
      <c r="AJ8" s="35" t="s">
        <v>15</v>
      </c>
      <c r="AK8" s="35" t="s">
        <v>25</v>
      </c>
      <c r="AL8" s="35" t="s">
        <v>149</v>
      </c>
      <c r="AM8" s="35" t="s">
        <v>150</v>
      </c>
      <c r="AN8" s="42">
        <f t="shared" si="10"/>
        <v>113419.59999999998</v>
      </c>
    </row>
    <row r="9" spans="1:42" s="37" customFormat="1" ht="100.8" x14ac:dyDescent="0.3">
      <c r="A9" s="37">
        <v>402</v>
      </c>
      <c r="B9" s="35" t="s">
        <v>151</v>
      </c>
      <c r="C9" s="35" t="s">
        <v>152</v>
      </c>
      <c r="D9" s="35">
        <v>3151</v>
      </c>
      <c r="E9" s="38">
        <v>44854</v>
      </c>
      <c r="F9" s="38">
        <v>46387</v>
      </c>
      <c r="G9" s="39">
        <f t="shared" si="0"/>
        <v>1533</v>
      </c>
      <c r="H9" s="40">
        <f t="shared" si="1"/>
        <v>0.68297455968688847</v>
      </c>
      <c r="I9" s="41">
        <v>7500000</v>
      </c>
      <c r="J9" s="41">
        <v>0</v>
      </c>
      <c r="K9" s="41">
        <v>0</v>
      </c>
      <c r="L9" s="42">
        <f t="shared" si="2"/>
        <v>7500000</v>
      </c>
      <c r="M9" s="41">
        <v>7500000</v>
      </c>
      <c r="N9" s="42">
        <f t="shared" si="3"/>
        <v>0</v>
      </c>
      <c r="O9" s="45">
        <v>7500000</v>
      </c>
      <c r="P9" s="45" t="s">
        <v>153</v>
      </c>
      <c r="Q9" s="35" t="s">
        <v>154</v>
      </c>
      <c r="R9" s="35" t="s">
        <v>155</v>
      </c>
      <c r="S9" s="35" t="s">
        <v>156</v>
      </c>
      <c r="T9" s="35" t="s">
        <v>157</v>
      </c>
      <c r="U9" s="35" t="s">
        <v>22</v>
      </c>
      <c r="V9" s="45">
        <v>7500000</v>
      </c>
      <c r="W9" s="41">
        <v>0</v>
      </c>
      <c r="X9" s="42">
        <f t="shared" si="4"/>
        <v>7500000</v>
      </c>
      <c r="Y9" s="41">
        <v>4785904.87</v>
      </c>
      <c r="Z9" s="45"/>
      <c r="AA9" s="42">
        <f t="shared" si="5"/>
        <v>4785904.87</v>
      </c>
      <c r="AB9" s="43">
        <f t="shared" si="6"/>
        <v>0.63812064933333335</v>
      </c>
      <c r="AC9" s="51">
        <v>0</v>
      </c>
      <c r="AD9" s="42">
        <f t="shared" si="7"/>
        <v>7500000</v>
      </c>
      <c r="AE9" s="42">
        <f t="shared" si="8"/>
        <v>0</v>
      </c>
      <c r="AF9" s="44">
        <f t="shared" si="9"/>
        <v>0</v>
      </c>
      <c r="AG9" s="45" t="s">
        <v>121</v>
      </c>
      <c r="AH9" s="35" t="s">
        <v>21</v>
      </c>
      <c r="AI9" s="35" t="s">
        <v>15</v>
      </c>
      <c r="AJ9" s="35" t="s">
        <v>15</v>
      </c>
      <c r="AK9" s="35" t="s">
        <v>25</v>
      </c>
      <c r="AL9" s="35" t="s">
        <v>122</v>
      </c>
      <c r="AN9" s="42">
        <f t="shared" si="10"/>
        <v>2714095.13</v>
      </c>
    </row>
    <row r="10" spans="1:42" s="37" customFormat="1" ht="288" x14ac:dyDescent="0.3">
      <c r="A10" s="37">
        <v>402</v>
      </c>
      <c r="B10" s="35" t="s">
        <v>158</v>
      </c>
      <c r="C10" s="35" t="s">
        <v>159</v>
      </c>
      <c r="D10" s="35">
        <v>3151</v>
      </c>
      <c r="E10" s="38">
        <v>44854</v>
      </c>
      <c r="F10" s="38">
        <v>45473</v>
      </c>
      <c r="G10" s="39">
        <f t="shared" si="0"/>
        <v>619</v>
      </c>
      <c r="H10" s="40">
        <f t="shared" si="1"/>
        <v>1.691437802907916</v>
      </c>
      <c r="I10" s="41">
        <v>1040000</v>
      </c>
      <c r="J10" s="41">
        <v>0</v>
      </c>
      <c r="K10" s="41">
        <v>0</v>
      </c>
      <c r="L10" s="42">
        <f t="shared" si="2"/>
        <v>1040000</v>
      </c>
      <c r="M10" s="41">
        <v>1040000</v>
      </c>
      <c r="N10" s="42">
        <f t="shared" si="3"/>
        <v>0</v>
      </c>
      <c r="O10" s="45">
        <v>1040000</v>
      </c>
      <c r="P10" s="45" t="s">
        <v>160</v>
      </c>
      <c r="Q10" s="35" t="s">
        <v>161</v>
      </c>
      <c r="R10" s="35" t="s">
        <v>162</v>
      </c>
      <c r="S10" s="35" t="s">
        <v>163</v>
      </c>
      <c r="T10" s="35" t="s">
        <v>164</v>
      </c>
      <c r="U10" s="35" t="s">
        <v>22</v>
      </c>
      <c r="V10" s="45">
        <v>1040000</v>
      </c>
      <c r="W10" s="41">
        <v>0</v>
      </c>
      <c r="X10" s="42">
        <f t="shared" si="4"/>
        <v>1040000</v>
      </c>
      <c r="Y10" s="41">
        <v>1039999.67</v>
      </c>
      <c r="Z10" s="45"/>
      <c r="AA10" s="42">
        <f t="shared" si="5"/>
        <v>1039999.67</v>
      </c>
      <c r="AB10" s="43">
        <f t="shared" si="6"/>
        <v>0.99999968269230777</v>
      </c>
      <c r="AC10" s="51">
        <v>0</v>
      </c>
      <c r="AD10" s="42">
        <f t="shared" si="7"/>
        <v>1040000</v>
      </c>
      <c r="AE10" s="42">
        <f t="shared" si="8"/>
        <v>0</v>
      </c>
      <c r="AF10" s="44">
        <f t="shared" si="9"/>
        <v>0</v>
      </c>
      <c r="AG10" s="45" t="s">
        <v>121</v>
      </c>
      <c r="AH10" s="35" t="s">
        <v>21</v>
      </c>
      <c r="AI10" s="35" t="s">
        <v>15</v>
      </c>
      <c r="AJ10" s="35" t="s">
        <v>15</v>
      </c>
      <c r="AK10" s="35" t="s">
        <v>25</v>
      </c>
      <c r="AL10" s="35" t="s">
        <v>122</v>
      </c>
      <c r="AN10" s="42">
        <f t="shared" si="10"/>
        <v>0.32999999995809048</v>
      </c>
    </row>
    <row r="11" spans="1:42" s="37" customFormat="1" ht="72" x14ac:dyDescent="0.3">
      <c r="A11" s="37">
        <v>402</v>
      </c>
      <c r="B11" s="35" t="s">
        <v>165</v>
      </c>
      <c r="C11" s="35" t="s">
        <v>166</v>
      </c>
      <c r="D11" s="35">
        <v>3151</v>
      </c>
      <c r="E11" s="38">
        <v>44854</v>
      </c>
      <c r="F11" s="38">
        <v>45107</v>
      </c>
      <c r="G11" s="39">
        <f t="shared" si="0"/>
        <v>253</v>
      </c>
      <c r="H11" s="40">
        <f t="shared" si="1"/>
        <v>1</v>
      </c>
      <c r="I11" s="41">
        <v>240000</v>
      </c>
      <c r="J11" s="41">
        <v>-20101.62</v>
      </c>
      <c r="K11" s="41"/>
      <c r="L11" s="42">
        <f t="shared" si="2"/>
        <v>219898.38</v>
      </c>
      <c r="M11" s="41">
        <v>219898.38</v>
      </c>
      <c r="N11" s="42">
        <f t="shared" si="3"/>
        <v>0</v>
      </c>
      <c r="O11" s="45">
        <v>240000</v>
      </c>
      <c r="P11" s="45" t="s">
        <v>167</v>
      </c>
      <c r="Q11" s="35" t="s">
        <v>168</v>
      </c>
      <c r="R11" s="35" t="s">
        <v>169</v>
      </c>
      <c r="S11" s="35" t="s">
        <v>170</v>
      </c>
      <c r="T11" s="35" t="s">
        <v>171</v>
      </c>
      <c r="U11" s="35" t="s">
        <v>26</v>
      </c>
      <c r="V11" s="45">
        <v>219898.38</v>
      </c>
      <c r="W11" s="41">
        <v>0</v>
      </c>
      <c r="X11" s="42">
        <f t="shared" si="4"/>
        <v>219898.38</v>
      </c>
      <c r="Y11" s="41">
        <v>219898.38</v>
      </c>
      <c r="Z11" s="45"/>
      <c r="AA11" s="42">
        <f t="shared" si="5"/>
        <v>219898.38</v>
      </c>
      <c r="AB11" s="43">
        <f t="shared" si="6"/>
        <v>0.91624325000000006</v>
      </c>
      <c r="AC11" s="41">
        <v>-20101.62</v>
      </c>
      <c r="AD11" s="42">
        <f t="shared" si="7"/>
        <v>219898.38</v>
      </c>
      <c r="AE11" s="42">
        <f t="shared" si="8"/>
        <v>0</v>
      </c>
      <c r="AF11" s="44">
        <f t="shared" si="9"/>
        <v>0</v>
      </c>
      <c r="AG11" s="45" t="s">
        <v>121</v>
      </c>
      <c r="AH11" s="35" t="s">
        <v>21</v>
      </c>
      <c r="AI11" s="35" t="s">
        <v>15</v>
      </c>
      <c r="AJ11" s="35" t="s">
        <v>15</v>
      </c>
      <c r="AK11" s="35" t="s">
        <v>25</v>
      </c>
      <c r="AL11" s="35" t="s">
        <v>122</v>
      </c>
      <c r="AN11" s="42">
        <f t="shared" si="10"/>
        <v>0</v>
      </c>
    </row>
    <row r="12" spans="1:42" s="37" customFormat="1" ht="259.2" x14ac:dyDescent="0.3">
      <c r="A12" s="37">
        <v>402</v>
      </c>
      <c r="B12" s="35" t="s">
        <v>172</v>
      </c>
      <c r="C12" s="35" t="s">
        <v>173</v>
      </c>
      <c r="D12" s="35">
        <v>3204</v>
      </c>
      <c r="E12" s="38">
        <v>44743</v>
      </c>
      <c r="F12" s="38">
        <v>45107</v>
      </c>
      <c r="G12" s="39">
        <f t="shared" si="0"/>
        <v>364</v>
      </c>
      <c r="H12" s="40">
        <f t="shared" si="1"/>
        <v>1</v>
      </c>
      <c r="I12" s="41">
        <v>173353</v>
      </c>
      <c r="J12" s="41">
        <v>0</v>
      </c>
      <c r="K12" s="41">
        <v>0</v>
      </c>
      <c r="L12" s="42">
        <f t="shared" si="2"/>
        <v>173353</v>
      </c>
      <c r="M12" s="41">
        <v>173353</v>
      </c>
      <c r="N12" s="42">
        <f t="shared" si="3"/>
        <v>0</v>
      </c>
      <c r="O12" s="45">
        <v>173353</v>
      </c>
      <c r="P12" s="45" t="s">
        <v>174</v>
      </c>
      <c r="Q12" s="35" t="s">
        <v>175</v>
      </c>
      <c r="R12" s="35" t="s">
        <v>176</v>
      </c>
      <c r="S12" s="50" t="s">
        <v>177</v>
      </c>
      <c r="T12" s="35" t="s">
        <v>178</v>
      </c>
      <c r="U12" s="35" t="s">
        <v>26</v>
      </c>
      <c r="V12" s="45">
        <v>173353</v>
      </c>
      <c r="W12" s="41">
        <v>0</v>
      </c>
      <c r="X12" s="42">
        <f t="shared" si="4"/>
        <v>173353</v>
      </c>
      <c r="Y12" s="41">
        <v>173353</v>
      </c>
      <c r="Z12" s="45">
        <v>0</v>
      </c>
      <c r="AA12" s="42">
        <f t="shared" si="5"/>
        <v>173353</v>
      </c>
      <c r="AB12" s="43">
        <f t="shared" si="6"/>
        <v>1</v>
      </c>
      <c r="AC12" s="47">
        <v>0</v>
      </c>
      <c r="AD12" s="42">
        <f t="shared" si="7"/>
        <v>173353</v>
      </c>
      <c r="AE12" s="42">
        <f t="shared" si="8"/>
        <v>0</v>
      </c>
      <c r="AF12" s="44">
        <f t="shared" si="9"/>
        <v>0</v>
      </c>
      <c r="AG12" s="45" t="s">
        <v>121</v>
      </c>
      <c r="AH12" s="35" t="s">
        <v>21</v>
      </c>
      <c r="AI12" s="35" t="s">
        <v>21</v>
      </c>
      <c r="AJ12" s="35" t="s">
        <v>15</v>
      </c>
      <c r="AK12" s="35" t="s">
        <v>25</v>
      </c>
      <c r="AL12" s="35" t="s">
        <v>179</v>
      </c>
      <c r="AN12" s="42">
        <f t="shared" si="10"/>
        <v>0</v>
      </c>
      <c r="AP12" s="48"/>
    </row>
    <row r="13" spans="1:42" s="37" customFormat="1" ht="216" x14ac:dyDescent="0.3">
      <c r="A13" s="37">
        <v>402</v>
      </c>
      <c r="B13" s="35" t="s">
        <v>180</v>
      </c>
      <c r="C13" s="35" t="s">
        <v>181</v>
      </c>
      <c r="D13" s="35">
        <v>3208</v>
      </c>
      <c r="E13" s="38">
        <v>44854</v>
      </c>
      <c r="F13" s="38">
        <v>45657</v>
      </c>
      <c r="G13" s="39">
        <f t="shared" si="0"/>
        <v>803</v>
      </c>
      <c r="H13" s="40">
        <f t="shared" si="1"/>
        <v>1</v>
      </c>
      <c r="I13" s="41">
        <v>199200</v>
      </c>
      <c r="J13" s="41"/>
      <c r="K13" s="41"/>
      <c r="L13" s="42">
        <f t="shared" si="2"/>
        <v>199200</v>
      </c>
      <c r="M13" s="41">
        <v>199200</v>
      </c>
      <c r="N13" s="42">
        <f t="shared" si="3"/>
        <v>0</v>
      </c>
      <c r="O13" s="45">
        <v>199200</v>
      </c>
      <c r="P13" s="45" t="s">
        <v>182</v>
      </c>
      <c r="Q13" s="35" t="s">
        <v>183</v>
      </c>
      <c r="R13" s="35" t="s">
        <v>184</v>
      </c>
      <c r="S13" s="35" t="s">
        <v>185</v>
      </c>
      <c r="T13" s="35" t="s">
        <v>171</v>
      </c>
      <c r="U13" s="35" t="s">
        <v>26</v>
      </c>
      <c r="V13" s="45">
        <v>166050</v>
      </c>
      <c r="W13" s="41">
        <v>0</v>
      </c>
      <c r="X13" s="42">
        <f t="shared" si="4"/>
        <v>166050</v>
      </c>
      <c r="Y13" s="41">
        <v>166050</v>
      </c>
      <c r="Z13" s="45">
        <v>0</v>
      </c>
      <c r="AA13" s="42">
        <f t="shared" si="5"/>
        <v>166050</v>
      </c>
      <c r="AB13" s="43">
        <f t="shared" si="6"/>
        <v>0.83358433734939763</v>
      </c>
      <c r="AC13" s="51">
        <v>-33150</v>
      </c>
      <c r="AD13" s="42">
        <f t="shared" si="7"/>
        <v>166050</v>
      </c>
      <c r="AE13" s="42">
        <f t="shared" si="8"/>
        <v>33150</v>
      </c>
      <c r="AF13" s="44">
        <f t="shared" si="9"/>
        <v>0</v>
      </c>
      <c r="AG13" s="45" t="s">
        <v>121</v>
      </c>
      <c r="AH13" s="35" t="s">
        <v>21</v>
      </c>
      <c r="AI13" s="35" t="s">
        <v>15</v>
      </c>
      <c r="AJ13" s="35" t="s">
        <v>15</v>
      </c>
      <c r="AK13" s="35" t="s">
        <v>25</v>
      </c>
      <c r="AL13" s="35" t="s">
        <v>122</v>
      </c>
      <c r="AM13" s="35" t="s">
        <v>186</v>
      </c>
      <c r="AN13" s="42">
        <f t="shared" si="10"/>
        <v>0</v>
      </c>
    </row>
    <row r="14" spans="1:42" s="37" customFormat="1" ht="187.2" x14ac:dyDescent="0.3">
      <c r="A14" s="37">
        <v>402</v>
      </c>
      <c r="B14" s="35" t="s">
        <v>187</v>
      </c>
      <c r="C14" s="35" t="s">
        <v>188</v>
      </c>
      <c r="D14" s="35">
        <v>3208</v>
      </c>
      <c r="E14" s="38">
        <v>44790</v>
      </c>
      <c r="F14" s="38">
        <v>45154</v>
      </c>
      <c r="G14" s="39">
        <f t="shared" si="0"/>
        <v>364</v>
      </c>
      <c r="H14" s="40">
        <f t="shared" si="1"/>
        <v>1</v>
      </c>
      <c r="I14" s="41">
        <v>5201</v>
      </c>
      <c r="J14" s="41"/>
      <c r="K14" s="41"/>
      <c r="L14" s="42">
        <f t="shared" si="2"/>
        <v>5201</v>
      </c>
      <c r="M14" s="41">
        <v>5201</v>
      </c>
      <c r="N14" s="42">
        <f t="shared" si="3"/>
        <v>0</v>
      </c>
      <c r="O14" s="45">
        <v>5201</v>
      </c>
      <c r="P14" s="45" t="s">
        <v>189</v>
      </c>
      <c r="Q14" s="35" t="s">
        <v>190</v>
      </c>
      <c r="R14" s="35" t="s">
        <v>191</v>
      </c>
      <c r="S14" s="35" t="s">
        <v>192</v>
      </c>
      <c r="T14" s="35" t="s">
        <v>193</v>
      </c>
      <c r="U14" s="35" t="s">
        <v>26</v>
      </c>
      <c r="V14" s="45">
        <v>4276.04</v>
      </c>
      <c r="W14" s="41">
        <v>0</v>
      </c>
      <c r="X14" s="42">
        <f t="shared" si="4"/>
        <v>4276.04</v>
      </c>
      <c r="Y14" s="41">
        <v>4276.04</v>
      </c>
      <c r="Z14" s="45">
        <v>0</v>
      </c>
      <c r="AA14" s="42">
        <f t="shared" si="5"/>
        <v>4276.04</v>
      </c>
      <c r="AB14" s="43">
        <f t="shared" si="6"/>
        <v>0.82215727744664491</v>
      </c>
      <c r="AC14" s="51">
        <v>-924.96</v>
      </c>
      <c r="AD14" s="42">
        <f t="shared" si="7"/>
        <v>4276.04</v>
      </c>
      <c r="AE14" s="42">
        <f t="shared" si="8"/>
        <v>924.96</v>
      </c>
      <c r="AF14" s="44">
        <f t="shared" si="9"/>
        <v>0</v>
      </c>
      <c r="AG14" s="45" t="s">
        <v>121</v>
      </c>
      <c r="AH14" s="35" t="s">
        <v>21</v>
      </c>
      <c r="AI14" s="35" t="s">
        <v>15</v>
      </c>
      <c r="AJ14" s="35" t="s">
        <v>15</v>
      </c>
      <c r="AK14" s="35" t="s">
        <v>25</v>
      </c>
      <c r="AL14" s="35" t="s">
        <v>122</v>
      </c>
      <c r="AM14" s="35" t="s">
        <v>194</v>
      </c>
      <c r="AN14" s="42">
        <f t="shared" si="10"/>
        <v>0</v>
      </c>
    </row>
    <row r="15" spans="1:42" s="37" customFormat="1" ht="72" x14ac:dyDescent="0.3">
      <c r="A15" s="37">
        <v>402</v>
      </c>
      <c r="B15" s="35" t="s">
        <v>195</v>
      </c>
      <c r="C15" s="35" t="s">
        <v>196</v>
      </c>
      <c r="D15" s="35">
        <v>3266</v>
      </c>
      <c r="E15" s="38">
        <v>44652</v>
      </c>
      <c r="F15" s="38">
        <v>45016</v>
      </c>
      <c r="G15" s="39">
        <f t="shared" si="0"/>
        <v>364</v>
      </c>
      <c r="H15" s="40">
        <f t="shared" si="1"/>
        <v>1</v>
      </c>
      <c r="I15" s="49">
        <v>25727.13</v>
      </c>
      <c r="J15" s="41">
        <v>-17398.259999999998</v>
      </c>
      <c r="K15" s="41">
        <v>0</v>
      </c>
      <c r="L15" s="42">
        <f t="shared" si="2"/>
        <v>8328.8700000000026</v>
      </c>
      <c r="M15" s="49">
        <v>8328.8700000000008</v>
      </c>
      <c r="N15" s="42">
        <f t="shared" si="3"/>
        <v>0</v>
      </c>
      <c r="O15" s="45">
        <v>25727.13</v>
      </c>
      <c r="P15" s="45" t="s">
        <v>197</v>
      </c>
      <c r="Q15" s="35" t="s">
        <v>198</v>
      </c>
      <c r="R15" s="35" t="s">
        <v>199</v>
      </c>
      <c r="S15" s="35" t="s">
        <v>200</v>
      </c>
      <c r="T15" s="35" t="s">
        <v>201</v>
      </c>
      <c r="U15" s="35" t="s">
        <v>26</v>
      </c>
      <c r="V15" s="45">
        <v>8328.8700000000008</v>
      </c>
      <c r="W15" s="41">
        <v>0</v>
      </c>
      <c r="X15" s="42">
        <f t="shared" si="4"/>
        <v>8328.8700000000008</v>
      </c>
      <c r="Y15" s="41">
        <v>8328.8700000000008</v>
      </c>
      <c r="Z15" s="45">
        <v>0</v>
      </c>
      <c r="AA15" s="42">
        <f t="shared" si="5"/>
        <v>8328.8700000000008</v>
      </c>
      <c r="AB15" s="43">
        <f t="shared" si="6"/>
        <v>0.32373879247315968</v>
      </c>
      <c r="AC15" s="47">
        <v>-17398.259999999998</v>
      </c>
      <c r="AD15" s="42">
        <f t="shared" si="7"/>
        <v>8328.8700000000026</v>
      </c>
      <c r="AE15" s="42">
        <f t="shared" si="8"/>
        <v>0</v>
      </c>
      <c r="AF15" s="44">
        <f t="shared" si="9"/>
        <v>0</v>
      </c>
      <c r="AG15" s="45" t="s">
        <v>121</v>
      </c>
      <c r="AH15" s="35">
        <v>1708</v>
      </c>
      <c r="AI15" s="35" t="s">
        <v>15</v>
      </c>
      <c r="AJ15" s="35" t="s">
        <v>15</v>
      </c>
      <c r="AK15" s="35" t="s">
        <v>20</v>
      </c>
      <c r="AL15" s="35" t="s">
        <v>179</v>
      </c>
      <c r="AN15" s="42">
        <f t="shared" si="10"/>
        <v>0</v>
      </c>
    </row>
    <row r="16" spans="1:42" s="37" customFormat="1" ht="115.2" x14ac:dyDescent="0.3">
      <c r="A16" s="37">
        <v>402</v>
      </c>
      <c r="B16" s="35" t="s">
        <v>202</v>
      </c>
      <c r="C16" s="35" t="s">
        <v>203</v>
      </c>
      <c r="D16" s="35">
        <v>3266</v>
      </c>
      <c r="E16" s="38">
        <v>44652</v>
      </c>
      <c r="F16" s="38">
        <v>45016</v>
      </c>
      <c r="G16" s="39">
        <f t="shared" si="0"/>
        <v>364</v>
      </c>
      <c r="H16" s="40">
        <f t="shared" si="1"/>
        <v>1</v>
      </c>
      <c r="I16" s="41">
        <v>626889.56999999995</v>
      </c>
      <c r="J16" s="41">
        <v>0</v>
      </c>
      <c r="K16" s="41">
        <v>0</v>
      </c>
      <c r="L16" s="42">
        <f t="shared" si="2"/>
        <v>626889.56999999995</v>
      </c>
      <c r="M16" s="41">
        <v>626889.56999999995</v>
      </c>
      <c r="N16" s="42">
        <f t="shared" si="3"/>
        <v>0</v>
      </c>
      <c r="O16" s="45">
        <v>626889.56999999995</v>
      </c>
      <c r="P16" s="45" t="s">
        <v>197</v>
      </c>
      <c r="Q16" s="35" t="s">
        <v>204</v>
      </c>
      <c r="R16" s="35" t="s">
        <v>205</v>
      </c>
      <c r="S16" s="35" t="s">
        <v>206</v>
      </c>
      <c r="T16" s="35" t="s">
        <v>207</v>
      </c>
      <c r="U16" s="35" t="s">
        <v>26</v>
      </c>
      <c r="V16" s="45">
        <v>626889.56999999995</v>
      </c>
      <c r="W16" s="41">
        <v>0</v>
      </c>
      <c r="X16" s="42">
        <f t="shared" si="4"/>
        <v>626889.56999999995</v>
      </c>
      <c r="Y16" s="41">
        <v>626889.56999999995</v>
      </c>
      <c r="Z16" s="45">
        <v>0</v>
      </c>
      <c r="AA16" s="42">
        <f t="shared" si="5"/>
        <v>626889.56999999995</v>
      </c>
      <c r="AB16" s="43">
        <f t="shared" si="6"/>
        <v>1</v>
      </c>
      <c r="AC16" s="47">
        <v>0</v>
      </c>
      <c r="AD16" s="42">
        <f t="shared" si="7"/>
        <v>626889.56999999995</v>
      </c>
      <c r="AE16" s="42">
        <f t="shared" si="8"/>
        <v>0</v>
      </c>
      <c r="AF16" s="44">
        <f t="shared" si="9"/>
        <v>0</v>
      </c>
      <c r="AG16" s="45" t="s">
        <v>121</v>
      </c>
      <c r="AH16" s="35">
        <v>3485</v>
      </c>
      <c r="AI16" s="35" t="s">
        <v>15</v>
      </c>
      <c r="AJ16" s="35" t="s">
        <v>15</v>
      </c>
      <c r="AK16" s="35" t="s">
        <v>20</v>
      </c>
      <c r="AL16" s="35" t="s">
        <v>179</v>
      </c>
      <c r="AN16" s="42">
        <f t="shared" si="10"/>
        <v>0</v>
      </c>
    </row>
    <row r="17" spans="1:42" s="37" customFormat="1" ht="100.8" x14ac:dyDescent="0.3">
      <c r="A17" s="37">
        <v>402</v>
      </c>
      <c r="B17" s="35" t="s">
        <v>208</v>
      </c>
      <c r="C17" s="35" t="s">
        <v>209</v>
      </c>
      <c r="D17" s="35">
        <v>3278</v>
      </c>
      <c r="E17" s="38">
        <v>45383</v>
      </c>
      <c r="F17" s="38">
        <v>45657</v>
      </c>
      <c r="G17" s="39">
        <v>274</v>
      </c>
      <c r="H17" s="40">
        <f t="shared" si="1"/>
        <v>1</v>
      </c>
      <c r="I17" s="53">
        <v>118560</v>
      </c>
      <c r="J17" s="53"/>
      <c r="K17" s="53"/>
      <c r="L17" s="42">
        <v>118560</v>
      </c>
      <c r="M17" s="53">
        <v>118560</v>
      </c>
      <c r="N17" s="42" t="s">
        <v>210</v>
      </c>
      <c r="O17" s="49">
        <v>118560</v>
      </c>
      <c r="P17" s="49" t="s">
        <v>211</v>
      </c>
      <c r="Q17" s="35" t="s">
        <v>212</v>
      </c>
      <c r="R17" s="35" t="s">
        <v>213</v>
      </c>
      <c r="S17" s="35" t="s">
        <v>214</v>
      </c>
      <c r="T17" s="35" t="s">
        <v>215</v>
      </c>
      <c r="U17" s="35" t="s">
        <v>26</v>
      </c>
      <c r="V17" s="49">
        <v>118503.67999999999</v>
      </c>
      <c r="W17" s="41"/>
      <c r="X17" s="42">
        <f t="shared" si="4"/>
        <v>118503.67999999999</v>
      </c>
      <c r="Y17" s="41">
        <v>118503.68000000001</v>
      </c>
      <c r="Z17" s="45"/>
      <c r="AA17" s="42">
        <f t="shared" si="5"/>
        <v>118503.68000000001</v>
      </c>
      <c r="AB17" s="43">
        <f t="shared" si="6"/>
        <v>0.99952496626180842</v>
      </c>
      <c r="AC17" s="47">
        <v>0</v>
      </c>
      <c r="AD17" s="42">
        <f t="shared" si="7"/>
        <v>118560</v>
      </c>
      <c r="AE17" s="42">
        <f t="shared" si="8"/>
        <v>0</v>
      </c>
      <c r="AF17" s="44">
        <f t="shared" si="9"/>
        <v>56.320000000006985</v>
      </c>
      <c r="AG17" s="49" t="s">
        <v>216</v>
      </c>
      <c r="AH17" s="35" t="s">
        <v>21</v>
      </c>
      <c r="AI17" s="35" t="s">
        <v>15</v>
      </c>
      <c r="AJ17" s="35" t="s">
        <v>15</v>
      </c>
      <c r="AK17" s="35" t="s">
        <v>25</v>
      </c>
      <c r="AL17" s="35" t="s">
        <v>122</v>
      </c>
      <c r="AN17" s="42">
        <f t="shared" si="10"/>
        <v>56.319999999992433</v>
      </c>
    </row>
    <row r="18" spans="1:42" s="37" customFormat="1" ht="86.4" x14ac:dyDescent="0.3">
      <c r="A18" s="37">
        <v>402</v>
      </c>
      <c r="B18" s="35" t="s">
        <v>217</v>
      </c>
      <c r="C18" s="35" t="s">
        <v>218</v>
      </c>
      <c r="D18" s="35">
        <v>3279</v>
      </c>
      <c r="E18" s="38">
        <v>44791</v>
      </c>
      <c r="F18" s="38">
        <v>45473</v>
      </c>
      <c r="G18" s="39">
        <f t="shared" ref="G18:G49" si="11">F18-E18</f>
        <v>682</v>
      </c>
      <c r="H18" s="40">
        <f t="shared" si="1"/>
        <v>1</v>
      </c>
      <c r="I18" s="41">
        <v>87690</v>
      </c>
      <c r="J18" s="41">
        <v>0</v>
      </c>
      <c r="K18" s="41">
        <v>0</v>
      </c>
      <c r="L18" s="42">
        <f t="shared" ref="L18:L49" si="12">I18+J18+K18</f>
        <v>87690</v>
      </c>
      <c r="M18" s="41">
        <v>87690</v>
      </c>
      <c r="N18" s="42">
        <f t="shared" ref="N18:N49" si="13">L18-M18</f>
        <v>0</v>
      </c>
      <c r="O18" s="45">
        <v>87690</v>
      </c>
      <c r="P18" s="45" t="s">
        <v>219</v>
      </c>
      <c r="Q18" s="35" t="s">
        <v>220</v>
      </c>
      <c r="R18" s="35" t="s">
        <v>221</v>
      </c>
      <c r="S18" s="35" t="s">
        <v>222</v>
      </c>
      <c r="T18" s="35" t="s">
        <v>223</v>
      </c>
      <c r="U18" s="35" t="s">
        <v>26</v>
      </c>
      <c r="V18" s="45">
        <v>79914.94</v>
      </c>
      <c r="W18" s="41"/>
      <c r="X18" s="42">
        <f t="shared" si="4"/>
        <v>79914.94</v>
      </c>
      <c r="Y18" s="41">
        <v>79914.94</v>
      </c>
      <c r="Z18" s="45"/>
      <c r="AA18" s="42">
        <f t="shared" si="5"/>
        <v>79914.94</v>
      </c>
      <c r="AB18" s="43">
        <f t="shared" si="6"/>
        <v>0.91133470179039799</v>
      </c>
      <c r="AC18" s="47">
        <v>0</v>
      </c>
      <c r="AD18" s="42">
        <f t="shared" si="7"/>
        <v>87690</v>
      </c>
      <c r="AE18" s="42">
        <f t="shared" si="8"/>
        <v>0</v>
      </c>
      <c r="AF18" s="44">
        <f t="shared" si="9"/>
        <v>7775.0599999999977</v>
      </c>
      <c r="AG18" s="45" t="s">
        <v>121</v>
      </c>
      <c r="AH18" s="35">
        <v>12</v>
      </c>
      <c r="AI18" s="35" t="s">
        <v>15</v>
      </c>
      <c r="AJ18" s="35" t="s">
        <v>15</v>
      </c>
      <c r="AK18" s="35" t="s">
        <v>224</v>
      </c>
      <c r="AL18" s="35" t="s">
        <v>122</v>
      </c>
      <c r="AN18" s="42">
        <f t="shared" si="10"/>
        <v>7775.0599999999977</v>
      </c>
    </row>
    <row r="19" spans="1:42" s="37" customFormat="1" ht="172.8" x14ac:dyDescent="0.3">
      <c r="A19" s="37">
        <v>402</v>
      </c>
      <c r="B19" s="35" t="s">
        <v>225</v>
      </c>
      <c r="C19" s="35" t="s">
        <v>226</v>
      </c>
      <c r="D19" s="35">
        <v>3279</v>
      </c>
      <c r="E19" s="38">
        <v>44791</v>
      </c>
      <c r="F19" s="38">
        <v>45747</v>
      </c>
      <c r="G19" s="39">
        <f t="shared" si="11"/>
        <v>956</v>
      </c>
      <c r="H19" s="40">
        <f t="shared" si="1"/>
        <v>1</v>
      </c>
      <c r="I19" s="41">
        <v>8527243</v>
      </c>
      <c r="J19" s="41">
        <v>0</v>
      </c>
      <c r="K19" s="41">
        <v>0</v>
      </c>
      <c r="L19" s="42">
        <f t="shared" si="12"/>
        <v>8527243</v>
      </c>
      <c r="M19" s="41">
        <v>8527243</v>
      </c>
      <c r="N19" s="42">
        <f t="shared" si="13"/>
        <v>0</v>
      </c>
      <c r="O19" s="45">
        <v>8527243</v>
      </c>
      <c r="P19" s="45" t="s">
        <v>227</v>
      </c>
      <c r="Q19" s="35" t="s">
        <v>228</v>
      </c>
      <c r="R19" s="35" t="s">
        <v>229</v>
      </c>
      <c r="S19" s="35" t="s">
        <v>230</v>
      </c>
      <c r="T19" s="35" t="s">
        <v>231</v>
      </c>
      <c r="U19" s="35" t="s">
        <v>26</v>
      </c>
      <c r="V19" s="41">
        <v>8527243</v>
      </c>
      <c r="W19" s="41"/>
      <c r="X19" s="42">
        <f t="shared" si="4"/>
        <v>8527243</v>
      </c>
      <c r="Y19" s="41">
        <v>8527243</v>
      </c>
      <c r="Z19" s="45">
        <v>0</v>
      </c>
      <c r="AA19" s="42">
        <f t="shared" si="5"/>
        <v>8527243</v>
      </c>
      <c r="AB19" s="43">
        <f t="shared" si="6"/>
        <v>1</v>
      </c>
      <c r="AC19" s="47">
        <v>0</v>
      </c>
      <c r="AD19" s="42">
        <f t="shared" si="7"/>
        <v>8527243</v>
      </c>
      <c r="AE19" s="42">
        <f t="shared" si="8"/>
        <v>0</v>
      </c>
      <c r="AF19" s="44">
        <v>0</v>
      </c>
      <c r="AG19" s="45" t="s">
        <v>121</v>
      </c>
      <c r="AH19" s="35">
        <v>1079</v>
      </c>
      <c r="AI19" s="35" t="s">
        <v>15</v>
      </c>
      <c r="AJ19" s="35" t="s">
        <v>15</v>
      </c>
      <c r="AK19" s="35" t="s">
        <v>224</v>
      </c>
      <c r="AL19" s="35" t="s">
        <v>232</v>
      </c>
      <c r="AM19" s="35"/>
      <c r="AN19" s="42">
        <f t="shared" si="10"/>
        <v>0</v>
      </c>
      <c r="AP19" s="133"/>
    </row>
    <row r="20" spans="1:42" s="37" customFormat="1" ht="187.2" x14ac:dyDescent="0.3">
      <c r="A20" s="37">
        <v>402</v>
      </c>
      <c r="B20" s="35" t="s">
        <v>233</v>
      </c>
      <c r="C20" s="35" t="s">
        <v>234</v>
      </c>
      <c r="D20" s="35">
        <v>3279</v>
      </c>
      <c r="E20" s="38">
        <v>44854</v>
      </c>
      <c r="F20" s="38">
        <v>46387</v>
      </c>
      <c r="G20" s="39">
        <f t="shared" si="11"/>
        <v>1533</v>
      </c>
      <c r="H20" s="40">
        <f t="shared" si="1"/>
        <v>0.68297455968688847</v>
      </c>
      <c r="I20" s="41">
        <v>14520000</v>
      </c>
      <c r="J20" s="41">
        <v>-2000000</v>
      </c>
      <c r="K20" s="41"/>
      <c r="L20" s="42">
        <f t="shared" si="12"/>
        <v>12520000</v>
      </c>
      <c r="M20" s="41">
        <v>14520000</v>
      </c>
      <c r="N20" s="42">
        <f t="shared" si="13"/>
        <v>-2000000</v>
      </c>
      <c r="O20" s="45">
        <v>14520000</v>
      </c>
      <c r="P20" s="45" t="s">
        <v>235</v>
      </c>
      <c r="Q20" s="35" t="s">
        <v>236</v>
      </c>
      <c r="R20" s="35" t="s">
        <v>237</v>
      </c>
      <c r="S20" s="35" t="s">
        <v>238</v>
      </c>
      <c r="T20" s="35" t="s">
        <v>239</v>
      </c>
      <c r="U20" s="35" t="s">
        <v>17</v>
      </c>
      <c r="V20" s="45">
        <v>1084866.1200000001</v>
      </c>
      <c r="W20" s="41">
        <v>170025.06</v>
      </c>
      <c r="X20" s="42">
        <f t="shared" si="4"/>
        <v>1254891.1800000002</v>
      </c>
      <c r="Y20" s="41">
        <v>1516845.7400000002</v>
      </c>
      <c r="Z20" s="45">
        <v>62545.01</v>
      </c>
      <c r="AA20" s="42">
        <f t="shared" si="5"/>
        <v>1579390.7500000002</v>
      </c>
      <c r="AB20" s="43">
        <f t="shared" si="6"/>
        <v>0.10877346763085401</v>
      </c>
      <c r="AC20" s="47">
        <v>-2000000</v>
      </c>
      <c r="AD20" s="42">
        <f t="shared" si="7"/>
        <v>12520000</v>
      </c>
      <c r="AE20" s="42">
        <f t="shared" si="8"/>
        <v>2000000</v>
      </c>
      <c r="AF20" s="44">
        <v>0</v>
      </c>
      <c r="AG20" s="45" t="s">
        <v>121</v>
      </c>
      <c r="AH20" s="35">
        <v>0</v>
      </c>
      <c r="AI20" s="35" t="s">
        <v>15</v>
      </c>
      <c r="AJ20" s="35" t="s">
        <v>15</v>
      </c>
      <c r="AK20" s="35" t="s">
        <v>25</v>
      </c>
      <c r="AL20" s="35" t="s">
        <v>232</v>
      </c>
      <c r="AN20" s="42">
        <f t="shared" si="10"/>
        <v>10940609.25</v>
      </c>
    </row>
    <row r="21" spans="1:42" s="37" customFormat="1" ht="100.8" x14ac:dyDescent="0.3">
      <c r="A21" s="37">
        <v>402</v>
      </c>
      <c r="B21" s="35" t="s">
        <v>240</v>
      </c>
      <c r="C21" s="35" t="s">
        <v>241</v>
      </c>
      <c r="D21" s="35">
        <v>3279</v>
      </c>
      <c r="E21" s="38">
        <v>44791</v>
      </c>
      <c r="F21" s="38">
        <v>45107</v>
      </c>
      <c r="G21" s="39">
        <f t="shared" si="11"/>
        <v>316</v>
      </c>
      <c r="H21" s="40">
        <f t="shared" si="1"/>
        <v>1</v>
      </c>
      <c r="I21" s="41">
        <v>10516</v>
      </c>
      <c r="J21" s="41"/>
      <c r="K21" s="41"/>
      <c r="L21" s="42">
        <f t="shared" si="12"/>
        <v>10516</v>
      </c>
      <c r="M21" s="41">
        <v>10516</v>
      </c>
      <c r="N21" s="42">
        <f t="shared" si="13"/>
        <v>0</v>
      </c>
      <c r="O21" s="45">
        <v>10516</v>
      </c>
      <c r="P21" s="45" t="s">
        <v>242</v>
      </c>
      <c r="Q21" s="35" t="s">
        <v>243</v>
      </c>
      <c r="R21" s="35" t="s">
        <v>244</v>
      </c>
      <c r="S21" s="35" t="s">
        <v>245</v>
      </c>
      <c r="T21" s="35" t="s">
        <v>246</v>
      </c>
      <c r="U21" s="35" t="s">
        <v>26</v>
      </c>
      <c r="V21" s="45">
        <v>10516</v>
      </c>
      <c r="W21" s="41"/>
      <c r="X21" s="42">
        <f t="shared" si="4"/>
        <v>10516</v>
      </c>
      <c r="Y21" s="41">
        <v>10516</v>
      </c>
      <c r="Z21" s="45">
        <v>0</v>
      </c>
      <c r="AA21" s="42">
        <f t="shared" si="5"/>
        <v>10516</v>
      </c>
      <c r="AB21" s="43">
        <f t="shared" si="6"/>
        <v>1</v>
      </c>
      <c r="AC21" s="46">
        <v>0</v>
      </c>
      <c r="AD21" s="42">
        <f t="shared" si="7"/>
        <v>10516</v>
      </c>
      <c r="AE21" s="42">
        <f t="shared" si="8"/>
        <v>0</v>
      </c>
      <c r="AF21" s="44">
        <f t="shared" ref="AF21:AF26" si="14">AD21-X21</f>
        <v>0</v>
      </c>
      <c r="AG21" s="45" t="s">
        <v>121</v>
      </c>
      <c r="AH21" s="35">
        <v>41</v>
      </c>
      <c r="AI21" s="35" t="s">
        <v>15</v>
      </c>
      <c r="AJ21" s="35">
        <v>0</v>
      </c>
      <c r="AK21" s="35" t="s">
        <v>224</v>
      </c>
      <c r="AL21" s="35" t="s">
        <v>122</v>
      </c>
      <c r="AN21" s="42">
        <f t="shared" si="10"/>
        <v>0</v>
      </c>
    </row>
    <row r="22" spans="1:42" s="37" customFormat="1" ht="57.6" x14ac:dyDescent="0.3">
      <c r="A22" s="37">
        <v>402</v>
      </c>
      <c r="B22" s="35" t="s">
        <v>247</v>
      </c>
      <c r="C22" s="35" t="s">
        <v>248</v>
      </c>
      <c r="D22" s="35">
        <v>3279</v>
      </c>
      <c r="E22" s="38">
        <v>44791</v>
      </c>
      <c r="F22" s="38">
        <v>45107</v>
      </c>
      <c r="G22" s="39">
        <f t="shared" si="11"/>
        <v>316</v>
      </c>
      <c r="H22" s="40">
        <f t="shared" si="1"/>
        <v>1</v>
      </c>
      <c r="I22" s="41">
        <v>3816</v>
      </c>
      <c r="J22" s="41">
        <v>0</v>
      </c>
      <c r="K22" s="41"/>
      <c r="L22" s="42">
        <f t="shared" si="12"/>
        <v>3816</v>
      </c>
      <c r="M22" s="41">
        <v>3816</v>
      </c>
      <c r="N22" s="42">
        <f t="shared" si="13"/>
        <v>0</v>
      </c>
      <c r="O22" s="45">
        <v>3816</v>
      </c>
      <c r="P22" s="45" t="s">
        <v>249</v>
      </c>
      <c r="Q22" s="35" t="s">
        <v>250</v>
      </c>
      <c r="R22" s="35" t="s">
        <v>21</v>
      </c>
      <c r="S22" s="35" t="s">
        <v>21</v>
      </c>
      <c r="T22" s="35" t="s">
        <v>251</v>
      </c>
      <c r="U22" s="35" t="s">
        <v>26</v>
      </c>
      <c r="V22" s="45">
        <v>3816</v>
      </c>
      <c r="W22" s="41"/>
      <c r="X22" s="42">
        <f t="shared" si="4"/>
        <v>3816</v>
      </c>
      <c r="Y22" s="41">
        <v>0</v>
      </c>
      <c r="Z22" s="45"/>
      <c r="AA22" s="42">
        <f t="shared" si="5"/>
        <v>0</v>
      </c>
      <c r="AB22" s="43">
        <f t="shared" si="6"/>
        <v>0</v>
      </c>
      <c r="AC22" s="46"/>
      <c r="AD22" s="42">
        <f t="shared" si="7"/>
        <v>3816</v>
      </c>
      <c r="AE22" s="42">
        <f t="shared" si="8"/>
        <v>0</v>
      </c>
      <c r="AF22" s="44">
        <f t="shared" si="14"/>
        <v>0</v>
      </c>
      <c r="AG22" s="45" t="s">
        <v>121</v>
      </c>
      <c r="AH22" s="35" t="s">
        <v>21</v>
      </c>
      <c r="AI22" s="35" t="s">
        <v>21</v>
      </c>
      <c r="AJ22" s="35" t="s">
        <v>15</v>
      </c>
      <c r="AK22" s="35" t="s">
        <v>224</v>
      </c>
      <c r="AL22" s="35" t="s">
        <v>122</v>
      </c>
      <c r="AN22" s="42">
        <f t="shared" si="10"/>
        <v>3816</v>
      </c>
    </row>
    <row r="23" spans="1:42" s="37" customFormat="1" ht="129.6" x14ac:dyDescent="0.3">
      <c r="A23" s="37">
        <v>402</v>
      </c>
      <c r="B23" s="35" t="s">
        <v>252</v>
      </c>
      <c r="C23" s="35" t="s">
        <v>253</v>
      </c>
      <c r="D23" s="35" t="s">
        <v>254</v>
      </c>
      <c r="E23" s="38">
        <v>44734</v>
      </c>
      <c r="F23" s="38">
        <v>45473</v>
      </c>
      <c r="G23" s="39">
        <f t="shared" si="11"/>
        <v>739</v>
      </c>
      <c r="H23" s="40">
        <f t="shared" si="1"/>
        <v>1</v>
      </c>
      <c r="I23" s="41">
        <v>10936</v>
      </c>
      <c r="J23" s="41">
        <v>0</v>
      </c>
      <c r="K23" s="41">
        <v>0</v>
      </c>
      <c r="L23" s="42">
        <f t="shared" si="12"/>
        <v>10936</v>
      </c>
      <c r="M23" s="41">
        <v>10936</v>
      </c>
      <c r="N23" s="42">
        <f t="shared" si="13"/>
        <v>0</v>
      </c>
      <c r="O23" s="45">
        <v>10936</v>
      </c>
      <c r="P23" s="45" t="s">
        <v>255</v>
      </c>
      <c r="Q23" s="35" t="s">
        <v>256</v>
      </c>
      <c r="R23" s="35" t="s">
        <v>257</v>
      </c>
      <c r="S23" s="35" t="s">
        <v>258</v>
      </c>
      <c r="T23" s="149" t="s">
        <v>259</v>
      </c>
      <c r="U23" s="35" t="s">
        <v>26</v>
      </c>
      <c r="V23" s="45">
        <v>10936</v>
      </c>
      <c r="W23" s="41"/>
      <c r="X23" s="42">
        <f t="shared" si="4"/>
        <v>10936</v>
      </c>
      <c r="Y23" s="41">
        <v>10936</v>
      </c>
      <c r="Z23" s="45">
        <v>0</v>
      </c>
      <c r="AA23" s="42">
        <f t="shared" si="5"/>
        <v>10936</v>
      </c>
      <c r="AB23" s="43">
        <f t="shared" si="6"/>
        <v>1</v>
      </c>
      <c r="AC23" s="47">
        <v>0</v>
      </c>
      <c r="AD23" s="42">
        <f t="shared" si="7"/>
        <v>10936</v>
      </c>
      <c r="AE23" s="42">
        <f t="shared" si="8"/>
        <v>0</v>
      </c>
      <c r="AF23" s="44">
        <f t="shared" si="14"/>
        <v>0</v>
      </c>
      <c r="AG23" s="45" t="s">
        <v>121</v>
      </c>
      <c r="AH23" s="35">
        <v>120</v>
      </c>
      <c r="AI23" s="35" t="s">
        <v>15</v>
      </c>
      <c r="AJ23" s="35" t="s">
        <v>15</v>
      </c>
      <c r="AK23" s="35" t="s">
        <v>20</v>
      </c>
      <c r="AL23" s="35" t="s">
        <v>179</v>
      </c>
      <c r="AM23" s="35"/>
      <c r="AN23" s="42">
        <f t="shared" si="10"/>
        <v>0</v>
      </c>
    </row>
    <row r="24" spans="1:42" s="37" customFormat="1" ht="115.2" x14ac:dyDescent="0.3">
      <c r="A24" s="37">
        <v>402</v>
      </c>
      <c r="B24" s="35" t="s">
        <v>260</v>
      </c>
      <c r="C24" s="35" t="s">
        <v>261</v>
      </c>
      <c r="D24" s="35" t="s">
        <v>254</v>
      </c>
      <c r="E24" s="38">
        <v>44854</v>
      </c>
      <c r="F24" s="38">
        <v>46387</v>
      </c>
      <c r="G24" s="39">
        <f t="shared" si="11"/>
        <v>1533</v>
      </c>
      <c r="H24" s="40">
        <f t="shared" si="1"/>
        <v>0.68297455968688847</v>
      </c>
      <c r="I24" s="41">
        <v>5000000</v>
      </c>
      <c r="J24" s="41">
        <v>-2000000</v>
      </c>
      <c r="K24" s="41"/>
      <c r="L24" s="42">
        <f t="shared" si="12"/>
        <v>3000000</v>
      </c>
      <c r="M24" s="41">
        <v>5000000</v>
      </c>
      <c r="N24" s="42">
        <f t="shared" si="13"/>
        <v>-2000000</v>
      </c>
      <c r="O24" s="45">
        <v>5000000</v>
      </c>
      <c r="P24" s="45" t="s">
        <v>262</v>
      </c>
      <c r="Q24" s="35" t="s">
        <v>263</v>
      </c>
      <c r="R24" s="35" t="s">
        <v>264</v>
      </c>
      <c r="S24" s="35" t="s">
        <v>265</v>
      </c>
      <c r="T24" s="35" t="s">
        <v>266</v>
      </c>
      <c r="U24" s="35" t="s">
        <v>17</v>
      </c>
      <c r="V24" s="45">
        <v>3000000</v>
      </c>
      <c r="W24" s="41">
        <v>0</v>
      </c>
      <c r="X24" s="42">
        <f t="shared" si="4"/>
        <v>3000000</v>
      </c>
      <c r="Y24" s="41">
        <v>293514.14</v>
      </c>
      <c r="Z24" s="45">
        <v>124875.45999999999</v>
      </c>
      <c r="AA24" s="42">
        <f t="shared" si="5"/>
        <v>418389.6</v>
      </c>
      <c r="AB24" s="43">
        <f t="shared" si="6"/>
        <v>8.3677919999999989E-2</v>
      </c>
      <c r="AC24" s="41">
        <v>-2000000</v>
      </c>
      <c r="AD24" s="42">
        <f t="shared" si="7"/>
        <v>3000000</v>
      </c>
      <c r="AE24" s="42">
        <f t="shared" si="8"/>
        <v>2000000</v>
      </c>
      <c r="AF24" s="44">
        <f t="shared" si="14"/>
        <v>0</v>
      </c>
      <c r="AG24" s="45" t="s">
        <v>121</v>
      </c>
      <c r="AH24" s="35" t="s">
        <v>21</v>
      </c>
      <c r="AI24" s="35" t="s">
        <v>15</v>
      </c>
      <c r="AJ24" s="35" t="s">
        <v>15</v>
      </c>
      <c r="AK24" s="35" t="s">
        <v>25</v>
      </c>
      <c r="AL24" s="35" t="s">
        <v>149</v>
      </c>
      <c r="AN24" s="42">
        <f t="shared" si="10"/>
        <v>2581610.4</v>
      </c>
    </row>
    <row r="25" spans="1:42" s="37" customFormat="1" ht="72" x14ac:dyDescent="0.3">
      <c r="A25" s="37">
        <v>402</v>
      </c>
      <c r="B25" s="35" t="s">
        <v>267</v>
      </c>
      <c r="C25" s="35" t="s">
        <v>268</v>
      </c>
      <c r="D25" s="35" t="s">
        <v>254</v>
      </c>
      <c r="E25" s="38">
        <v>44854</v>
      </c>
      <c r="F25" s="38">
        <v>45838</v>
      </c>
      <c r="G25" s="39">
        <f t="shared" si="11"/>
        <v>984</v>
      </c>
      <c r="H25" s="40">
        <f t="shared" si="1"/>
        <v>1</v>
      </c>
      <c r="I25" s="41">
        <v>2909528</v>
      </c>
      <c r="J25" s="41">
        <v>-400000</v>
      </c>
      <c r="K25" s="41"/>
      <c r="L25" s="42">
        <f t="shared" si="12"/>
        <v>2509528</v>
      </c>
      <c r="M25" s="41">
        <v>2909528</v>
      </c>
      <c r="N25" s="42">
        <f t="shared" si="13"/>
        <v>-400000</v>
      </c>
      <c r="O25" s="45">
        <v>2909528</v>
      </c>
      <c r="P25" s="45" t="s">
        <v>269</v>
      </c>
      <c r="Q25" s="35" t="s">
        <v>270</v>
      </c>
      <c r="R25" s="35" t="s">
        <v>271</v>
      </c>
      <c r="S25" s="35" t="s">
        <v>272</v>
      </c>
      <c r="T25" s="35" t="s">
        <v>273</v>
      </c>
      <c r="U25" s="35" t="s">
        <v>26</v>
      </c>
      <c r="V25" s="45">
        <v>2509527.75</v>
      </c>
      <c r="W25" s="41">
        <v>-16310.660000000149</v>
      </c>
      <c r="X25" s="42">
        <f t="shared" si="4"/>
        <v>2493217.09</v>
      </c>
      <c r="Y25" s="41">
        <v>2408563.3699999992</v>
      </c>
      <c r="Z25" s="45">
        <v>84653.72</v>
      </c>
      <c r="AA25" s="42">
        <f t="shared" si="5"/>
        <v>2493217.0899999994</v>
      </c>
      <c r="AB25" s="43">
        <f t="shared" si="6"/>
        <v>0.85691462326535417</v>
      </c>
      <c r="AC25" s="41">
        <v>-400000</v>
      </c>
      <c r="AD25" s="42">
        <f t="shared" si="7"/>
        <v>2509528</v>
      </c>
      <c r="AE25" s="42">
        <f t="shared" si="8"/>
        <v>400000</v>
      </c>
      <c r="AF25" s="44">
        <f t="shared" si="14"/>
        <v>16310.910000000149</v>
      </c>
      <c r="AG25" s="45" t="s">
        <v>121</v>
      </c>
      <c r="AH25" s="35">
        <v>6440</v>
      </c>
      <c r="AI25" s="35" t="s">
        <v>15</v>
      </c>
      <c r="AJ25" s="35" t="s">
        <v>15</v>
      </c>
      <c r="AK25" s="35" t="s">
        <v>25</v>
      </c>
      <c r="AL25" s="35" t="s">
        <v>179</v>
      </c>
      <c r="AM25" s="35" t="s">
        <v>274</v>
      </c>
      <c r="AN25" s="42">
        <f t="shared" si="10"/>
        <v>16310.910000000615</v>
      </c>
    </row>
    <row r="26" spans="1:42" s="37" customFormat="1" ht="158.4" x14ac:dyDescent="0.3">
      <c r="A26" s="37">
        <v>402</v>
      </c>
      <c r="B26" s="35" t="s">
        <v>275</v>
      </c>
      <c r="C26" s="35" t="s">
        <v>276</v>
      </c>
      <c r="D26" s="35" t="s">
        <v>254</v>
      </c>
      <c r="E26" s="38">
        <v>44854</v>
      </c>
      <c r="F26" s="38">
        <v>46022</v>
      </c>
      <c r="G26" s="39">
        <f t="shared" si="11"/>
        <v>1168</v>
      </c>
      <c r="H26" s="40">
        <f t="shared" si="1"/>
        <v>0.89640410958904104</v>
      </c>
      <c r="I26" s="41">
        <v>1559280</v>
      </c>
      <c r="J26" s="41">
        <v>-59280</v>
      </c>
      <c r="K26" s="41">
        <v>0</v>
      </c>
      <c r="L26" s="42">
        <f t="shared" si="12"/>
        <v>1500000</v>
      </c>
      <c r="M26" s="41">
        <v>1559280</v>
      </c>
      <c r="N26" s="42">
        <f t="shared" si="13"/>
        <v>-59280</v>
      </c>
      <c r="O26" s="45">
        <v>1559280</v>
      </c>
      <c r="P26" s="45" t="s">
        <v>277</v>
      </c>
      <c r="Q26" s="35" t="s">
        <v>278</v>
      </c>
      <c r="R26" s="35" t="s">
        <v>279</v>
      </c>
      <c r="S26" s="35" t="s">
        <v>280</v>
      </c>
      <c r="T26" s="35" t="s">
        <v>281</v>
      </c>
      <c r="U26" s="35" t="s">
        <v>22</v>
      </c>
      <c r="V26" s="45">
        <v>1500000</v>
      </c>
      <c r="W26" s="41">
        <v>-2813.02</v>
      </c>
      <c r="X26" s="42">
        <f t="shared" si="4"/>
        <v>1497186.98</v>
      </c>
      <c r="Y26" s="41">
        <v>985496.97000000009</v>
      </c>
      <c r="Z26" s="45">
        <v>124050.2</v>
      </c>
      <c r="AA26" s="42">
        <f t="shared" si="5"/>
        <v>1109547.1700000002</v>
      </c>
      <c r="AB26" s="43">
        <f t="shared" si="6"/>
        <v>0.71157660586937566</v>
      </c>
      <c r="AC26" s="41">
        <v>-59280</v>
      </c>
      <c r="AD26" s="42">
        <f t="shared" si="7"/>
        <v>1500000</v>
      </c>
      <c r="AE26" s="42">
        <f t="shared" si="8"/>
        <v>59280</v>
      </c>
      <c r="AF26" s="44">
        <f t="shared" si="14"/>
        <v>2813.0200000000186</v>
      </c>
      <c r="AG26" s="45" t="s">
        <v>121</v>
      </c>
      <c r="AH26" s="35">
        <v>1461</v>
      </c>
      <c r="AI26" s="35" t="s">
        <v>15</v>
      </c>
      <c r="AJ26" s="35" t="s">
        <v>15</v>
      </c>
      <c r="AK26" s="35" t="s">
        <v>25</v>
      </c>
      <c r="AL26" s="35" t="s">
        <v>122</v>
      </c>
      <c r="AM26" s="37" t="s">
        <v>274</v>
      </c>
      <c r="AN26" s="42">
        <f t="shared" si="10"/>
        <v>390452.82999999984</v>
      </c>
    </row>
    <row r="27" spans="1:42" s="37" customFormat="1" ht="172.8" x14ac:dyDescent="0.3">
      <c r="A27" s="37">
        <v>402</v>
      </c>
      <c r="B27" s="35" t="s">
        <v>282</v>
      </c>
      <c r="C27" s="35" t="s">
        <v>283</v>
      </c>
      <c r="D27" s="35" t="s">
        <v>254</v>
      </c>
      <c r="E27" s="38">
        <v>44854</v>
      </c>
      <c r="F27" s="38">
        <v>46387</v>
      </c>
      <c r="G27" s="39">
        <f t="shared" si="11"/>
        <v>1533</v>
      </c>
      <c r="H27" s="40">
        <f t="shared" si="1"/>
        <v>0.68297455968688847</v>
      </c>
      <c r="I27" s="41">
        <v>2090000</v>
      </c>
      <c r="J27" s="41">
        <v>-59280</v>
      </c>
      <c r="K27" s="41"/>
      <c r="L27" s="42">
        <f t="shared" si="12"/>
        <v>2030720</v>
      </c>
      <c r="M27" s="41">
        <v>2090000</v>
      </c>
      <c r="N27" s="42">
        <f t="shared" si="13"/>
        <v>-59280</v>
      </c>
      <c r="O27" s="45">
        <v>2090000</v>
      </c>
      <c r="P27" s="45" t="s">
        <v>284</v>
      </c>
      <c r="Q27" s="35" t="s">
        <v>285</v>
      </c>
      <c r="R27" s="35" t="s">
        <v>286</v>
      </c>
      <c r="S27" s="35" t="s">
        <v>287</v>
      </c>
      <c r="T27" s="35" t="s">
        <v>288</v>
      </c>
      <c r="U27" s="35" t="s">
        <v>22</v>
      </c>
      <c r="V27" s="45">
        <v>2030668.26</v>
      </c>
      <c r="W27" s="41">
        <v>0</v>
      </c>
      <c r="X27" s="42">
        <f t="shared" si="4"/>
        <v>2030668.26</v>
      </c>
      <c r="Y27" s="41">
        <v>1898936</v>
      </c>
      <c r="Z27" s="45">
        <v>44590.34</v>
      </c>
      <c r="AA27" s="42">
        <f t="shared" si="5"/>
        <v>1943526.34</v>
      </c>
      <c r="AB27" s="43">
        <f t="shared" si="6"/>
        <v>0.92991690909090918</v>
      </c>
      <c r="AC27" s="41">
        <v>-59280</v>
      </c>
      <c r="AD27" s="42">
        <f t="shared" si="7"/>
        <v>2030720</v>
      </c>
      <c r="AE27" s="42">
        <f t="shared" si="8"/>
        <v>59280</v>
      </c>
      <c r="AF27" s="44">
        <f t="shared" ref="AF27:AF58" si="15">AD27-X27</f>
        <v>51.739999999990687</v>
      </c>
      <c r="AG27" s="45" t="s">
        <v>121</v>
      </c>
      <c r="AH27" s="35">
        <v>931</v>
      </c>
      <c r="AI27" s="35" t="s">
        <v>15</v>
      </c>
      <c r="AJ27" s="35" t="s">
        <v>15</v>
      </c>
      <c r="AK27" s="35" t="s">
        <v>25</v>
      </c>
      <c r="AL27" s="35" t="s">
        <v>179</v>
      </c>
      <c r="AM27" s="35" t="s">
        <v>274</v>
      </c>
      <c r="AN27" s="42">
        <f t="shared" si="10"/>
        <v>87193.659999999916</v>
      </c>
    </row>
    <row r="28" spans="1:42" s="37" customFormat="1" ht="172.8" x14ac:dyDescent="0.3">
      <c r="A28" s="37">
        <v>402</v>
      </c>
      <c r="B28" s="35" t="s">
        <v>289</v>
      </c>
      <c r="C28" s="35" t="s">
        <v>290</v>
      </c>
      <c r="D28" s="35" t="s">
        <v>254</v>
      </c>
      <c r="E28" s="38">
        <v>44854</v>
      </c>
      <c r="F28" s="38">
        <v>45838</v>
      </c>
      <c r="G28" s="39">
        <f t="shared" si="11"/>
        <v>984</v>
      </c>
      <c r="H28" s="40">
        <f t="shared" si="1"/>
        <v>1</v>
      </c>
      <c r="I28" s="41">
        <v>470000</v>
      </c>
      <c r="J28" s="41">
        <v>0</v>
      </c>
      <c r="K28" s="41"/>
      <c r="L28" s="42">
        <f t="shared" si="12"/>
        <v>470000</v>
      </c>
      <c r="M28" s="41">
        <v>470000</v>
      </c>
      <c r="N28" s="42">
        <f t="shared" si="13"/>
        <v>0</v>
      </c>
      <c r="O28" s="45">
        <v>470000</v>
      </c>
      <c r="P28" s="45" t="s">
        <v>291</v>
      </c>
      <c r="Q28" s="35" t="s">
        <v>292</v>
      </c>
      <c r="R28" s="35" t="s">
        <v>293</v>
      </c>
      <c r="S28" s="35" t="s">
        <v>294</v>
      </c>
      <c r="T28" s="149" t="s">
        <v>295</v>
      </c>
      <c r="U28" s="35" t="s">
        <v>26</v>
      </c>
      <c r="V28" s="45">
        <v>470000</v>
      </c>
      <c r="W28" s="41"/>
      <c r="X28" s="42">
        <f t="shared" si="4"/>
        <v>470000</v>
      </c>
      <c r="Y28" s="41">
        <v>441327.37</v>
      </c>
      <c r="Z28" s="45">
        <v>28495.63</v>
      </c>
      <c r="AA28" s="42">
        <f t="shared" si="5"/>
        <v>469823</v>
      </c>
      <c r="AB28" s="43">
        <f t="shared" si="6"/>
        <v>0.99962340425531915</v>
      </c>
      <c r="AC28" s="47">
        <v>0</v>
      </c>
      <c r="AD28" s="42">
        <f t="shared" si="7"/>
        <v>470000</v>
      </c>
      <c r="AE28" s="42">
        <f t="shared" si="8"/>
        <v>0</v>
      </c>
      <c r="AF28" s="44">
        <f t="shared" si="15"/>
        <v>0</v>
      </c>
      <c r="AG28" s="45" t="s">
        <v>296</v>
      </c>
      <c r="AH28" s="35" t="s">
        <v>21</v>
      </c>
      <c r="AI28" s="35" t="s">
        <v>15</v>
      </c>
      <c r="AJ28" s="35" t="s">
        <v>15</v>
      </c>
      <c r="AK28" s="35" t="s">
        <v>25</v>
      </c>
      <c r="AL28" s="35" t="s">
        <v>122</v>
      </c>
      <c r="AN28" s="42">
        <f t="shared" si="10"/>
        <v>177</v>
      </c>
    </row>
    <row r="29" spans="1:42" s="37" customFormat="1" ht="129.6" x14ac:dyDescent="0.3">
      <c r="A29" s="37">
        <v>402</v>
      </c>
      <c r="B29" s="35" t="s">
        <v>297</v>
      </c>
      <c r="C29" s="35" t="s">
        <v>298</v>
      </c>
      <c r="D29" s="35" t="s">
        <v>254</v>
      </c>
      <c r="E29" s="38">
        <v>44854</v>
      </c>
      <c r="F29" s="38">
        <v>45657</v>
      </c>
      <c r="G29" s="39">
        <f t="shared" si="11"/>
        <v>803</v>
      </c>
      <c r="H29" s="40">
        <f t="shared" si="1"/>
        <v>1</v>
      </c>
      <c r="I29" s="41">
        <v>1788960</v>
      </c>
      <c r="J29" s="41">
        <v>-1788960</v>
      </c>
      <c r="K29" s="41"/>
      <c r="L29" s="42">
        <f t="shared" si="12"/>
        <v>0</v>
      </c>
      <c r="M29" s="41"/>
      <c r="N29" s="42">
        <f t="shared" si="13"/>
        <v>0</v>
      </c>
      <c r="O29" s="45">
        <v>1788960</v>
      </c>
      <c r="P29" s="45" t="s">
        <v>299</v>
      </c>
      <c r="Q29" s="35" t="s">
        <v>300</v>
      </c>
      <c r="R29" s="35" t="s">
        <v>301</v>
      </c>
      <c r="S29" s="168" t="s">
        <v>302</v>
      </c>
      <c r="T29" s="35" t="s">
        <v>303</v>
      </c>
      <c r="U29" s="35" t="s">
        <v>26</v>
      </c>
      <c r="V29" s="45">
        <v>0</v>
      </c>
      <c r="W29" s="41"/>
      <c r="X29" s="42">
        <f t="shared" si="4"/>
        <v>0</v>
      </c>
      <c r="Y29" s="41">
        <v>0</v>
      </c>
      <c r="Z29" s="45">
        <v>0</v>
      </c>
      <c r="AA29" s="42">
        <f t="shared" si="5"/>
        <v>0</v>
      </c>
      <c r="AB29" s="43">
        <f t="shared" si="6"/>
        <v>0</v>
      </c>
      <c r="AC29" s="47">
        <v>-1788960</v>
      </c>
      <c r="AD29" s="42">
        <f t="shared" si="7"/>
        <v>0</v>
      </c>
      <c r="AE29" s="42">
        <f t="shared" si="8"/>
        <v>0</v>
      </c>
      <c r="AF29" s="44">
        <f t="shared" si="15"/>
        <v>0</v>
      </c>
      <c r="AG29" s="45" t="s">
        <v>21</v>
      </c>
      <c r="AH29" s="35" t="s">
        <v>21</v>
      </c>
      <c r="AI29" s="35" t="s">
        <v>21</v>
      </c>
      <c r="AJ29" s="35" t="s">
        <v>15</v>
      </c>
      <c r="AK29" s="35" t="s">
        <v>20</v>
      </c>
      <c r="AL29" s="35" t="s">
        <v>179</v>
      </c>
      <c r="AN29" s="42">
        <f t="shared" si="10"/>
        <v>0</v>
      </c>
    </row>
    <row r="30" spans="1:42" s="37" customFormat="1" ht="57.6" x14ac:dyDescent="0.3">
      <c r="A30" s="37">
        <v>402</v>
      </c>
      <c r="B30" s="35" t="s">
        <v>304</v>
      </c>
      <c r="C30" s="35" t="s">
        <v>305</v>
      </c>
      <c r="D30" s="35" t="s">
        <v>254</v>
      </c>
      <c r="E30" s="38">
        <v>44854</v>
      </c>
      <c r="F30" s="38">
        <v>46022</v>
      </c>
      <c r="G30" s="39">
        <f t="shared" si="11"/>
        <v>1168</v>
      </c>
      <c r="H30" s="40">
        <f t="shared" si="1"/>
        <v>0.89640410958904104</v>
      </c>
      <c r="I30" s="41">
        <v>4000000</v>
      </c>
      <c r="J30" s="41">
        <v>0</v>
      </c>
      <c r="K30" s="41"/>
      <c r="L30" s="42">
        <f t="shared" si="12"/>
        <v>4000000</v>
      </c>
      <c r="M30" s="41">
        <v>4000000</v>
      </c>
      <c r="N30" s="42">
        <f t="shared" si="13"/>
        <v>0</v>
      </c>
      <c r="O30" s="45">
        <v>4000000</v>
      </c>
      <c r="P30" s="45" t="s">
        <v>306</v>
      </c>
      <c r="Q30" s="35" t="s">
        <v>307</v>
      </c>
      <c r="R30" s="35" t="s">
        <v>308</v>
      </c>
      <c r="S30" s="35" t="s">
        <v>309</v>
      </c>
      <c r="T30" s="35" t="s">
        <v>310</v>
      </c>
      <c r="U30" s="35" t="s">
        <v>22</v>
      </c>
      <c r="V30" s="45">
        <v>4000000</v>
      </c>
      <c r="W30" s="41">
        <v>-2.36</v>
      </c>
      <c r="X30" s="42">
        <f t="shared" si="4"/>
        <v>3999997.64</v>
      </c>
      <c r="Y30" s="41">
        <v>3213907.62</v>
      </c>
      <c r="Z30" s="45">
        <v>158037.16999999998</v>
      </c>
      <c r="AA30" s="42">
        <f t="shared" si="5"/>
        <v>3371944.79</v>
      </c>
      <c r="AB30" s="43">
        <f t="shared" si="6"/>
        <v>0.84298619750000003</v>
      </c>
      <c r="AC30" s="47">
        <v>0</v>
      </c>
      <c r="AD30" s="42">
        <f t="shared" si="7"/>
        <v>4000000</v>
      </c>
      <c r="AE30" s="42">
        <f t="shared" si="8"/>
        <v>0</v>
      </c>
      <c r="AF30" s="44">
        <f t="shared" si="15"/>
        <v>2.3599999998696148</v>
      </c>
      <c r="AG30" s="45" t="s">
        <v>121</v>
      </c>
      <c r="AH30" s="35" t="s">
        <v>21</v>
      </c>
      <c r="AI30" s="35" t="s">
        <v>15</v>
      </c>
      <c r="AJ30" s="35" t="s">
        <v>15</v>
      </c>
      <c r="AK30" s="35" t="s">
        <v>25</v>
      </c>
      <c r="AL30" s="35" t="s">
        <v>122</v>
      </c>
      <c r="AM30" s="52"/>
      <c r="AN30" s="42">
        <f t="shared" si="10"/>
        <v>628055.21</v>
      </c>
    </row>
    <row r="31" spans="1:42" s="37" customFormat="1" ht="54.75" customHeight="1" x14ac:dyDescent="0.3">
      <c r="A31" s="37">
        <v>402</v>
      </c>
      <c r="B31" s="35" t="s">
        <v>311</v>
      </c>
      <c r="C31" s="35" t="s">
        <v>312</v>
      </c>
      <c r="D31" s="35" t="s">
        <v>254</v>
      </c>
      <c r="E31" s="38">
        <v>44854</v>
      </c>
      <c r="F31" s="38">
        <v>46387</v>
      </c>
      <c r="G31" s="39">
        <f t="shared" si="11"/>
        <v>1533</v>
      </c>
      <c r="H31" s="40">
        <f t="shared" si="1"/>
        <v>0.68297455968688847</v>
      </c>
      <c r="I31" s="41">
        <v>1646881</v>
      </c>
      <c r="J31" s="41">
        <v>-500000</v>
      </c>
      <c r="K31" s="41"/>
      <c r="L31" s="42">
        <f t="shared" si="12"/>
        <v>1146881</v>
      </c>
      <c r="M31" s="41">
        <v>1646881</v>
      </c>
      <c r="N31" s="42">
        <f t="shared" si="13"/>
        <v>-500000</v>
      </c>
      <c r="O31" s="45">
        <v>1646881</v>
      </c>
      <c r="P31" s="45" t="s">
        <v>313</v>
      </c>
      <c r="Q31" s="35" t="s">
        <v>314</v>
      </c>
      <c r="R31" s="35" t="s">
        <v>315</v>
      </c>
      <c r="S31" s="35" t="s">
        <v>316</v>
      </c>
      <c r="T31" s="35" t="s">
        <v>317</v>
      </c>
      <c r="U31" s="35" t="s">
        <v>17</v>
      </c>
      <c r="V31" s="45">
        <v>1146246.3500000001</v>
      </c>
      <c r="W31" s="41">
        <v>0</v>
      </c>
      <c r="X31" s="42">
        <f t="shared" si="4"/>
        <v>1146246.3500000001</v>
      </c>
      <c r="Y31" s="41">
        <v>660723.37999999989</v>
      </c>
      <c r="Z31" s="45">
        <v>56547.799999999996</v>
      </c>
      <c r="AA31" s="42">
        <f t="shared" si="5"/>
        <v>717271.17999999993</v>
      </c>
      <c r="AB31" s="43">
        <f t="shared" si="6"/>
        <v>0.43553309559099895</v>
      </c>
      <c r="AC31" s="41">
        <v>-500000</v>
      </c>
      <c r="AD31" s="42">
        <f t="shared" si="7"/>
        <v>1146881</v>
      </c>
      <c r="AE31" s="42">
        <f t="shared" si="8"/>
        <v>500000</v>
      </c>
      <c r="AF31" s="44">
        <f t="shared" si="15"/>
        <v>634.64999999990687</v>
      </c>
      <c r="AG31" s="45" t="s">
        <v>121</v>
      </c>
      <c r="AH31" s="35" t="s">
        <v>21</v>
      </c>
      <c r="AI31" s="35" t="s">
        <v>15</v>
      </c>
      <c r="AJ31" s="35" t="s">
        <v>15</v>
      </c>
      <c r="AK31" s="35" t="s">
        <v>25</v>
      </c>
      <c r="AL31" s="35" t="s">
        <v>149</v>
      </c>
      <c r="AN31" s="42">
        <f t="shared" si="10"/>
        <v>429609.82000000007</v>
      </c>
      <c r="AP31" s="133"/>
    </row>
    <row r="32" spans="1:42" s="37" customFormat="1" ht="57.6" x14ac:dyDescent="0.3">
      <c r="A32" s="37">
        <v>402</v>
      </c>
      <c r="B32" s="35" t="s">
        <v>318</v>
      </c>
      <c r="C32" s="35" t="s">
        <v>319</v>
      </c>
      <c r="D32" s="35" t="s">
        <v>254</v>
      </c>
      <c r="E32" s="38">
        <v>45108</v>
      </c>
      <c r="F32" s="38">
        <v>45838</v>
      </c>
      <c r="G32" s="39">
        <f t="shared" si="11"/>
        <v>730</v>
      </c>
      <c r="H32" s="40">
        <f t="shared" si="1"/>
        <v>1</v>
      </c>
      <c r="I32" s="41">
        <v>843813</v>
      </c>
      <c r="J32" s="41">
        <v>0</v>
      </c>
      <c r="K32" s="41"/>
      <c r="L32" s="42">
        <f t="shared" si="12"/>
        <v>843813</v>
      </c>
      <c r="M32" s="41">
        <v>843813</v>
      </c>
      <c r="N32" s="42">
        <f t="shared" si="13"/>
        <v>0</v>
      </c>
      <c r="O32" s="45">
        <v>843813</v>
      </c>
      <c r="P32" s="45" t="s">
        <v>320</v>
      </c>
      <c r="Q32" s="35" t="s">
        <v>321</v>
      </c>
      <c r="R32" s="54" t="s">
        <v>322</v>
      </c>
      <c r="S32" s="54" t="s">
        <v>323</v>
      </c>
      <c r="T32" s="35" t="s">
        <v>324</v>
      </c>
      <c r="U32" s="35" t="s">
        <v>26</v>
      </c>
      <c r="V32" s="45">
        <v>843813</v>
      </c>
      <c r="W32" s="41"/>
      <c r="X32" s="42">
        <f t="shared" si="4"/>
        <v>843813</v>
      </c>
      <c r="Y32" s="41">
        <v>843813</v>
      </c>
      <c r="Z32" s="45">
        <v>0</v>
      </c>
      <c r="AA32" s="42">
        <f t="shared" si="5"/>
        <v>843813</v>
      </c>
      <c r="AB32" s="43">
        <f t="shared" si="6"/>
        <v>1</v>
      </c>
      <c r="AC32" s="47">
        <v>0</v>
      </c>
      <c r="AD32" s="42">
        <f t="shared" si="7"/>
        <v>843813</v>
      </c>
      <c r="AE32" s="42">
        <f t="shared" si="8"/>
        <v>0</v>
      </c>
      <c r="AF32" s="44">
        <f t="shared" si="15"/>
        <v>0</v>
      </c>
      <c r="AG32" s="45" t="s">
        <v>121</v>
      </c>
      <c r="AH32" s="35">
        <v>2547</v>
      </c>
      <c r="AI32" s="35" t="s">
        <v>15</v>
      </c>
      <c r="AJ32" s="35" t="s">
        <v>15</v>
      </c>
      <c r="AK32" s="35" t="s">
        <v>25</v>
      </c>
      <c r="AL32" s="35" t="s">
        <v>149</v>
      </c>
      <c r="AM32" s="72" t="s">
        <v>76</v>
      </c>
      <c r="AN32" s="42">
        <f t="shared" si="10"/>
        <v>0</v>
      </c>
    </row>
    <row r="33" spans="1:42" s="37" customFormat="1" ht="100.8" x14ac:dyDescent="0.3">
      <c r="A33" s="37">
        <v>406</v>
      </c>
      <c r="B33" s="37" t="s">
        <v>325</v>
      </c>
      <c r="C33" s="35" t="s">
        <v>326</v>
      </c>
      <c r="D33" s="35">
        <v>3161</v>
      </c>
      <c r="E33" s="38">
        <v>44854</v>
      </c>
      <c r="F33" s="38">
        <v>46295</v>
      </c>
      <c r="G33" s="39">
        <f t="shared" si="11"/>
        <v>1441</v>
      </c>
      <c r="H33" s="40">
        <f t="shared" si="1"/>
        <v>0.72657876474670369</v>
      </c>
      <c r="I33" s="56">
        <v>10000000</v>
      </c>
      <c r="J33" s="56">
        <v>0</v>
      </c>
      <c r="K33" s="56"/>
      <c r="L33" s="42">
        <f t="shared" si="12"/>
        <v>10000000</v>
      </c>
      <c r="M33" s="57">
        <v>10000000</v>
      </c>
      <c r="N33" s="42">
        <f t="shared" si="13"/>
        <v>0</v>
      </c>
      <c r="O33" s="45">
        <v>10000000</v>
      </c>
      <c r="P33" s="64" t="s">
        <v>327</v>
      </c>
      <c r="Q33" s="35" t="s">
        <v>328</v>
      </c>
      <c r="R33" s="35" t="s">
        <v>329</v>
      </c>
      <c r="S33" s="35" t="s">
        <v>330</v>
      </c>
      <c r="T33" s="65" t="s">
        <v>331</v>
      </c>
      <c r="U33" s="35" t="s">
        <v>17</v>
      </c>
      <c r="V33" s="61">
        <v>10000000</v>
      </c>
      <c r="W33" s="167"/>
      <c r="X33" s="42">
        <f t="shared" si="4"/>
        <v>10000000</v>
      </c>
      <c r="Y33" s="61">
        <v>1224262.48</v>
      </c>
      <c r="Z33" s="160">
        <v>424345.45</v>
      </c>
      <c r="AA33" s="42">
        <f t="shared" si="5"/>
        <v>1648607.93</v>
      </c>
      <c r="AB33" s="43">
        <f t="shared" si="6"/>
        <v>0.16486079300000001</v>
      </c>
      <c r="AC33" s="56">
        <v>0</v>
      </c>
      <c r="AD33" s="42">
        <f t="shared" si="7"/>
        <v>10000000</v>
      </c>
      <c r="AE33" s="42">
        <f t="shared" si="8"/>
        <v>0</v>
      </c>
      <c r="AF33" s="44">
        <f t="shared" si="15"/>
        <v>0</v>
      </c>
      <c r="AG33" s="45" t="s">
        <v>121</v>
      </c>
      <c r="AH33" s="35"/>
      <c r="AI33" s="35" t="s">
        <v>21</v>
      </c>
      <c r="AJ33" s="35" t="s">
        <v>8</v>
      </c>
      <c r="AK33" s="35" t="s">
        <v>224</v>
      </c>
      <c r="AL33" s="35" t="s">
        <v>122</v>
      </c>
      <c r="AN33" s="42">
        <f t="shared" si="10"/>
        <v>8351392.0700000003</v>
      </c>
    </row>
    <row r="34" spans="1:42" s="37" customFormat="1" ht="43.2" x14ac:dyDescent="0.3">
      <c r="A34" s="37">
        <v>406</v>
      </c>
      <c r="B34" s="37" t="s">
        <v>332</v>
      </c>
      <c r="C34" s="35" t="s">
        <v>333</v>
      </c>
      <c r="D34" s="35">
        <v>3161</v>
      </c>
      <c r="E34" s="38">
        <v>45273</v>
      </c>
      <c r="F34" s="38">
        <v>46022</v>
      </c>
      <c r="G34" s="39">
        <f t="shared" si="11"/>
        <v>749</v>
      </c>
      <c r="H34" s="40">
        <f t="shared" si="1"/>
        <v>0.83845126835781036</v>
      </c>
      <c r="I34" s="63">
        <v>22629572</v>
      </c>
      <c r="J34" s="63">
        <f>-6662592-15966980</f>
        <v>-22629572</v>
      </c>
      <c r="K34" s="63"/>
      <c r="L34" s="42">
        <f t="shared" si="12"/>
        <v>0</v>
      </c>
      <c r="M34" s="41">
        <f>7951058+1338068</f>
        <v>9289126</v>
      </c>
      <c r="N34" s="42">
        <f t="shared" si="13"/>
        <v>-9289126</v>
      </c>
      <c r="O34" s="45">
        <f>7951058+1338068</f>
        <v>9289126</v>
      </c>
      <c r="P34" s="64" t="s">
        <v>334</v>
      </c>
      <c r="Q34" s="35" t="s">
        <v>335</v>
      </c>
      <c r="R34" s="35" t="s">
        <v>336</v>
      </c>
      <c r="S34" s="35" t="s">
        <v>21</v>
      </c>
      <c r="T34" s="65" t="s">
        <v>337</v>
      </c>
      <c r="U34" s="35" t="s">
        <v>22</v>
      </c>
      <c r="V34" s="66">
        <v>9289126</v>
      </c>
      <c r="W34" s="167"/>
      <c r="X34" s="42">
        <f t="shared" si="4"/>
        <v>9289126</v>
      </c>
      <c r="Y34" s="45">
        <v>8756947.4200000018</v>
      </c>
      <c r="Z34" s="160">
        <v>306560.65000000002</v>
      </c>
      <c r="AA34" s="42">
        <f t="shared" si="5"/>
        <v>9063508.0700000022</v>
      </c>
      <c r="AB34" s="43">
        <f t="shared" si="6"/>
        <v>0.9757116083902837</v>
      </c>
      <c r="AC34" s="55"/>
      <c r="AD34" s="42">
        <f t="shared" si="7"/>
        <v>9289126</v>
      </c>
      <c r="AE34" s="42">
        <f t="shared" si="8"/>
        <v>0</v>
      </c>
      <c r="AF34" s="44">
        <f t="shared" si="15"/>
        <v>0</v>
      </c>
      <c r="AG34" s="45" t="s">
        <v>338</v>
      </c>
      <c r="AH34" s="35">
        <v>21</v>
      </c>
      <c r="AI34" s="35" t="s">
        <v>21</v>
      </c>
      <c r="AJ34" s="35" t="s">
        <v>8</v>
      </c>
      <c r="AK34" s="35" t="s">
        <v>224</v>
      </c>
      <c r="AL34" s="35" t="s">
        <v>122</v>
      </c>
      <c r="AN34" s="42">
        <f t="shared" si="10"/>
        <v>225617.92999999784</v>
      </c>
      <c r="AP34" s="133"/>
    </row>
    <row r="35" spans="1:42" s="37" customFormat="1" ht="72" x14ac:dyDescent="0.3">
      <c r="A35" s="37">
        <v>406</v>
      </c>
      <c r="B35" s="37" t="s">
        <v>339</v>
      </c>
      <c r="C35" s="35" t="s">
        <v>340</v>
      </c>
      <c r="D35" s="35">
        <v>3161</v>
      </c>
      <c r="E35" s="38">
        <v>45273</v>
      </c>
      <c r="F35" s="38">
        <v>46387</v>
      </c>
      <c r="G35" s="39">
        <f t="shared" si="11"/>
        <v>1114</v>
      </c>
      <c r="H35" s="40">
        <f t="shared" ref="H35:H66" si="16">IF(U35="Completed",1,($B$1-E35)/G35)</f>
        <v>0.56373429084380611</v>
      </c>
      <c r="I35" s="56">
        <v>14905281</v>
      </c>
      <c r="J35" s="56">
        <v>0</v>
      </c>
      <c r="K35" s="56">
        <v>0</v>
      </c>
      <c r="L35" s="42">
        <f t="shared" si="12"/>
        <v>14905281</v>
      </c>
      <c r="M35" s="57">
        <v>14905281</v>
      </c>
      <c r="N35" s="42">
        <f t="shared" si="13"/>
        <v>0</v>
      </c>
      <c r="O35" s="45">
        <v>14905281</v>
      </c>
      <c r="P35" s="58" t="s">
        <v>341</v>
      </c>
      <c r="Q35" s="35" t="s">
        <v>342</v>
      </c>
      <c r="R35" s="35" t="s">
        <v>343</v>
      </c>
      <c r="S35" s="35" t="s">
        <v>21</v>
      </c>
      <c r="T35" s="183" t="s">
        <v>344</v>
      </c>
      <c r="U35" s="35" t="s">
        <v>22</v>
      </c>
      <c r="V35" s="61">
        <v>14905281</v>
      </c>
      <c r="W35" s="167"/>
      <c r="X35" s="42">
        <f t="shared" ref="X35:X66" si="17">V35+W35</f>
        <v>14905281</v>
      </c>
      <c r="Y35" s="62">
        <v>7646922.7899999991</v>
      </c>
      <c r="Z35" s="160">
        <v>1015056.85</v>
      </c>
      <c r="AA35" s="42">
        <f t="shared" ref="AA35:AA66" si="18">Y35+Z35</f>
        <v>8661979.6399999987</v>
      </c>
      <c r="AB35" s="43">
        <f t="shared" ref="AB35:AB66" si="19">AA35/O35</f>
        <v>0.58113494405103794</v>
      </c>
      <c r="AC35" s="56">
        <v>0</v>
      </c>
      <c r="AD35" s="42">
        <f t="shared" si="7"/>
        <v>14905281</v>
      </c>
      <c r="AE35" s="42">
        <f t="shared" ref="AE35:AE60" si="20">M35-AD35</f>
        <v>0</v>
      </c>
      <c r="AF35" s="44">
        <f t="shared" si="15"/>
        <v>0</v>
      </c>
      <c r="AG35" s="45" t="s">
        <v>338</v>
      </c>
      <c r="AH35" s="35">
        <v>90</v>
      </c>
      <c r="AI35" s="35" t="s">
        <v>21</v>
      </c>
      <c r="AJ35" s="35" t="s">
        <v>15</v>
      </c>
      <c r="AK35" s="35" t="s">
        <v>25</v>
      </c>
      <c r="AL35" s="35" t="s">
        <v>232</v>
      </c>
      <c r="AN35" s="42">
        <f t="shared" ref="AN35:AN66" si="21">AD35-AA35</f>
        <v>6243301.3600000013</v>
      </c>
      <c r="AP35" s="133"/>
    </row>
    <row r="36" spans="1:42" s="37" customFormat="1" ht="57.6" x14ac:dyDescent="0.3">
      <c r="A36" s="37">
        <v>406</v>
      </c>
      <c r="B36" s="37" t="s">
        <v>345</v>
      </c>
      <c r="C36" s="35" t="s">
        <v>346</v>
      </c>
      <c r="D36" s="35">
        <v>3161</v>
      </c>
      <c r="E36" s="38">
        <v>45315</v>
      </c>
      <c r="F36" s="38">
        <v>46387</v>
      </c>
      <c r="G36" s="39">
        <f t="shared" si="11"/>
        <v>1072</v>
      </c>
      <c r="H36" s="40">
        <f t="shared" si="16"/>
        <v>0.54664179104477617</v>
      </c>
      <c r="I36" s="56">
        <v>5716150</v>
      </c>
      <c r="J36" s="56">
        <f>-2070848-2721280</f>
        <v>-4792128</v>
      </c>
      <c r="K36" s="56">
        <v>0</v>
      </c>
      <c r="L36" s="42">
        <f t="shared" si="12"/>
        <v>924022</v>
      </c>
      <c r="M36" s="57">
        <v>5716150</v>
      </c>
      <c r="N36" s="42">
        <f t="shared" si="13"/>
        <v>-4792128</v>
      </c>
      <c r="O36" s="45">
        <v>5716150</v>
      </c>
      <c r="P36" s="58" t="s">
        <v>347</v>
      </c>
      <c r="Q36" s="35" t="s">
        <v>348</v>
      </c>
      <c r="R36" s="35" t="s">
        <v>349</v>
      </c>
      <c r="S36" s="35" t="s">
        <v>21</v>
      </c>
      <c r="T36" s="65" t="s">
        <v>350</v>
      </c>
      <c r="U36" s="35" t="s">
        <v>17</v>
      </c>
      <c r="V36" s="61">
        <v>3645302</v>
      </c>
      <c r="W36" s="167"/>
      <c r="X36" s="42">
        <f t="shared" si="17"/>
        <v>3645302</v>
      </c>
      <c r="Y36" s="62">
        <v>686016.86</v>
      </c>
      <c r="Z36" s="160">
        <v>73039.710000000006</v>
      </c>
      <c r="AA36" s="42">
        <f t="shared" si="18"/>
        <v>759056.57</v>
      </c>
      <c r="AB36" s="43">
        <f t="shared" si="19"/>
        <v>0.13279157649816747</v>
      </c>
      <c r="AC36" s="56">
        <v>-2070848</v>
      </c>
      <c r="AD36" s="42">
        <f t="shared" si="7"/>
        <v>3645302</v>
      </c>
      <c r="AE36" s="42">
        <f t="shared" si="20"/>
        <v>2070848</v>
      </c>
      <c r="AF36" s="44">
        <f t="shared" si="15"/>
        <v>0</v>
      </c>
      <c r="AG36" s="45" t="s">
        <v>338</v>
      </c>
      <c r="AH36" s="35">
        <v>11</v>
      </c>
      <c r="AI36" s="35" t="s">
        <v>21</v>
      </c>
      <c r="AJ36" s="35" t="s">
        <v>15</v>
      </c>
      <c r="AK36" s="35" t="s">
        <v>25</v>
      </c>
      <c r="AL36" s="35" t="s">
        <v>232</v>
      </c>
      <c r="AN36" s="42">
        <f t="shared" si="21"/>
        <v>2886245.43</v>
      </c>
    </row>
    <row r="37" spans="1:42" s="37" customFormat="1" ht="57.6" x14ac:dyDescent="0.3">
      <c r="A37" s="37">
        <v>406</v>
      </c>
      <c r="B37" s="37" t="s">
        <v>351</v>
      </c>
      <c r="C37" s="35" t="s">
        <v>352</v>
      </c>
      <c r="D37" s="35">
        <v>3161</v>
      </c>
      <c r="E37" s="38">
        <v>44659</v>
      </c>
      <c r="F37" s="38">
        <v>45199</v>
      </c>
      <c r="G37" s="39">
        <f t="shared" si="11"/>
        <v>540</v>
      </c>
      <c r="H37" s="40">
        <f t="shared" si="16"/>
        <v>1</v>
      </c>
      <c r="I37" s="56">
        <v>4972547</v>
      </c>
      <c r="J37" s="56">
        <v>-4748855.51</v>
      </c>
      <c r="K37" s="56">
        <v>0</v>
      </c>
      <c r="L37" s="42">
        <f t="shared" si="12"/>
        <v>223691.49000000022</v>
      </c>
      <c r="M37" s="57">
        <v>4972547</v>
      </c>
      <c r="N37" s="42">
        <f t="shared" si="13"/>
        <v>-4748855.51</v>
      </c>
      <c r="O37" s="45">
        <v>4972547</v>
      </c>
      <c r="P37" s="64" t="s">
        <v>353</v>
      </c>
      <c r="Q37" s="35" t="s">
        <v>354</v>
      </c>
      <c r="R37" s="35" t="s">
        <v>355</v>
      </c>
      <c r="S37" s="35" t="s">
        <v>21</v>
      </c>
      <c r="T37" s="35" t="s">
        <v>356</v>
      </c>
      <c r="U37" s="35" t="s">
        <v>26</v>
      </c>
      <c r="V37" s="61">
        <v>223691.49</v>
      </c>
      <c r="W37" s="167"/>
      <c r="X37" s="42">
        <f t="shared" si="17"/>
        <v>223691.49</v>
      </c>
      <c r="Y37" s="62">
        <v>223691.49</v>
      </c>
      <c r="Z37" s="172">
        <v>0</v>
      </c>
      <c r="AA37" s="42">
        <f t="shared" si="18"/>
        <v>223691.49</v>
      </c>
      <c r="AB37" s="43">
        <f t="shared" si="19"/>
        <v>4.4985294256645533E-2</v>
      </c>
      <c r="AC37" s="56">
        <v>-4748855.51</v>
      </c>
      <c r="AD37" s="42">
        <f t="shared" si="7"/>
        <v>223691.49000000022</v>
      </c>
      <c r="AE37" s="42">
        <f t="shared" si="20"/>
        <v>4748855.51</v>
      </c>
      <c r="AF37" s="44">
        <f t="shared" si="15"/>
        <v>2.3283064365386963E-10</v>
      </c>
      <c r="AG37" s="45" t="s">
        <v>26</v>
      </c>
      <c r="AH37" s="35" t="s">
        <v>21</v>
      </c>
      <c r="AI37" s="35" t="s">
        <v>21</v>
      </c>
      <c r="AJ37" s="35" t="s">
        <v>8</v>
      </c>
      <c r="AK37" s="35" t="s">
        <v>224</v>
      </c>
      <c r="AL37" s="35" t="s">
        <v>122</v>
      </c>
      <c r="AN37" s="42">
        <f t="shared" si="21"/>
        <v>2.3283064365386963E-10</v>
      </c>
    </row>
    <row r="38" spans="1:42" s="37" customFormat="1" ht="28.8" x14ac:dyDescent="0.3">
      <c r="A38" s="37">
        <v>406</v>
      </c>
      <c r="B38" s="37" t="s">
        <v>357</v>
      </c>
      <c r="C38" s="35" t="s">
        <v>358</v>
      </c>
      <c r="D38" s="35">
        <v>3161</v>
      </c>
      <c r="E38" s="38">
        <v>44602</v>
      </c>
      <c r="F38" s="38">
        <v>44926</v>
      </c>
      <c r="G38" s="39">
        <f t="shared" si="11"/>
        <v>324</v>
      </c>
      <c r="H38" s="40">
        <f t="shared" si="16"/>
        <v>1</v>
      </c>
      <c r="I38" s="56">
        <v>286977</v>
      </c>
      <c r="J38" s="56">
        <v>-79110.5</v>
      </c>
      <c r="K38" s="56">
        <v>0</v>
      </c>
      <c r="L38" s="42">
        <f t="shared" si="12"/>
        <v>207866.5</v>
      </c>
      <c r="M38" s="57">
        <v>286977</v>
      </c>
      <c r="N38" s="42">
        <f t="shared" si="13"/>
        <v>-79110.5</v>
      </c>
      <c r="O38" s="45">
        <v>286977</v>
      </c>
      <c r="P38" s="58" t="s">
        <v>359</v>
      </c>
      <c r="Q38" s="35" t="s">
        <v>360</v>
      </c>
      <c r="R38" s="35" t="s">
        <v>361</v>
      </c>
      <c r="S38" s="35" t="s">
        <v>21</v>
      </c>
      <c r="T38" s="59" t="s">
        <v>362</v>
      </c>
      <c r="U38" s="35" t="s">
        <v>26</v>
      </c>
      <c r="V38" s="56">
        <v>207866.5</v>
      </c>
      <c r="W38" s="166"/>
      <c r="X38" s="42">
        <f t="shared" si="17"/>
        <v>207866.5</v>
      </c>
      <c r="Y38" s="57">
        <v>207866</v>
      </c>
      <c r="Z38" s="158"/>
      <c r="AA38" s="42">
        <f t="shared" si="18"/>
        <v>207866</v>
      </c>
      <c r="AB38" s="43">
        <f t="shared" si="19"/>
        <v>0.72432982434132354</v>
      </c>
      <c r="AC38" s="60">
        <v>-79110.5</v>
      </c>
      <c r="AD38" s="42">
        <f t="shared" si="7"/>
        <v>207866.5</v>
      </c>
      <c r="AE38" s="42">
        <f t="shared" si="20"/>
        <v>79110.5</v>
      </c>
      <c r="AF38" s="44">
        <f t="shared" si="15"/>
        <v>0</v>
      </c>
      <c r="AG38" s="45" t="s">
        <v>26</v>
      </c>
      <c r="AH38" s="35" t="s">
        <v>21</v>
      </c>
      <c r="AI38" s="35" t="s">
        <v>21</v>
      </c>
      <c r="AJ38" s="35"/>
      <c r="AK38" s="35" t="s">
        <v>224</v>
      </c>
      <c r="AL38" s="35" t="s">
        <v>122</v>
      </c>
      <c r="AN38" s="42">
        <f t="shared" si="21"/>
        <v>0.5</v>
      </c>
    </row>
    <row r="39" spans="1:42" s="37" customFormat="1" ht="43.2" x14ac:dyDescent="0.3">
      <c r="A39" s="37">
        <v>406</v>
      </c>
      <c r="B39" s="37" t="s">
        <v>363</v>
      </c>
      <c r="C39" s="35" t="s">
        <v>364</v>
      </c>
      <c r="D39" s="35">
        <v>3161</v>
      </c>
      <c r="E39" s="38">
        <v>44854</v>
      </c>
      <c r="F39" s="38">
        <v>45107</v>
      </c>
      <c r="G39" s="39">
        <f t="shared" si="11"/>
        <v>253</v>
      </c>
      <c r="H39" s="40">
        <f t="shared" si="16"/>
        <v>1</v>
      </c>
      <c r="I39" s="56">
        <v>475000</v>
      </c>
      <c r="J39" s="56">
        <v>-69.75</v>
      </c>
      <c r="K39" s="56">
        <v>0</v>
      </c>
      <c r="L39" s="42">
        <f t="shared" si="12"/>
        <v>474930.25</v>
      </c>
      <c r="M39" s="57">
        <v>475000</v>
      </c>
      <c r="N39" s="42">
        <f t="shared" si="13"/>
        <v>-69.75</v>
      </c>
      <c r="O39" s="45">
        <v>475000</v>
      </c>
      <c r="P39" s="58" t="s">
        <v>365</v>
      </c>
      <c r="Q39" s="35" t="s">
        <v>366</v>
      </c>
      <c r="R39" s="35" t="s">
        <v>367</v>
      </c>
      <c r="S39" s="35" t="s">
        <v>21</v>
      </c>
      <c r="T39" s="59" t="s">
        <v>368</v>
      </c>
      <c r="U39" s="35" t="s">
        <v>26</v>
      </c>
      <c r="V39" s="61">
        <v>474930.25</v>
      </c>
      <c r="W39" s="167"/>
      <c r="X39" s="42">
        <f t="shared" si="17"/>
        <v>474930.25</v>
      </c>
      <c r="Y39" s="62">
        <v>474930.25</v>
      </c>
      <c r="Z39" s="159"/>
      <c r="AA39" s="42">
        <f t="shared" si="18"/>
        <v>474930.25</v>
      </c>
      <c r="AB39" s="43">
        <f t="shared" si="19"/>
        <v>0.99985315789473683</v>
      </c>
      <c r="AC39" s="56">
        <v>-69.75</v>
      </c>
      <c r="AD39" s="42">
        <f t="shared" si="7"/>
        <v>474930.25</v>
      </c>
      <c r="AE39" s="42">
        <f t="shared" si="20"/>
        <v>69.75</v>
      </c>
      <c r="AF39" s="44">
        <f t="shared" si="15"/>
        <v>0</v>
      </c>
      <c r="AG39" s="45" t="s">
        <v>26</v>
      </c>
      <c r="AH39" s="35" t="s">
        <v>21</v>
      </c>
      <c r="AI39" s="35" t="s">
        <v>21</v>
      </c>
      <c r="AJ39" s="35"/>
      <c r="AK39" s="35" t="s">
        <v>224</v>
      </c>
      <c r="AL39" s="35" t="s">
        <v>232</v>
      </c>
      <c r="AN39" s="42">
        <f t="shared" si="21"/>
        <v>0</v>
      </c>
    </row>
    <row r="40" spans="1:42" s="37" customFormat="1" ht="72" x14ac:dyDescent="0.3">
      <c r="A40" s="37">
        <v>406</v>
      </c>
      <c r="B40" s="37" t="s">
        <v>369</v>
      </c>
      <c r="C40" s="35" t="s">
        <v>370</v>
      </c>
      <c r="D40" s="35">
        <v>3161</v>
      </c>
      <c r="E40" s="38">
        <v>44854</v>
      </c>
      <c r="F40" s="38">
        <v>46387</v>
      </c>
      <c r="G40" s="39">
        <f t="shared" si="11"/>
        <v>1533</v>
      </c>
      <c r="H40" s="40">
        <f t="shared" si="16"/>
        <v>1</v>
      </c>
      <c r="I40" s="56">
        <v>55378801</v>
      </c>
      <c r="J40" s="56">
        <v>-54378801</v>
      </c>
      <c r="K40" s="56">
        <v>0</v>
      </c>
      <c r="L40" s="42">
        <f t="shared" si="12"/>
        <v>1000000</v>
      </c>
      <c r="M40" s="57">
        <v>55378801</v>
      </c>
      <c r="N40" s="42">
        <f t="shared" si="13"/>
        <v>-54378801</v>
      </c>
      <c r="O40" s="45">
        <f>55378801-53585685</f>
        <v>1793116</v>
      </c>
      <c r="P40" s="58" t="s">
        <v>371</v>
      </c>
      <c r="Q40" s="35" t="s">
        <v>372</v>
      </c>
      <c r="R40" s="35" t="s">
        <v>373</v>
      </c>
      <c r="S40" s="35" t="s">
        <v>21</v>
      </c>
      <c r="T40" s="35" t="s">
        <v>374</v>
      </c>
      <c r="U40" s="35" t="s">
        <v>26</v>
      </c>
      <c r="V40" s="61">
        <v>490330.41</v>
      </c>
      <c r="W40" s="167"/>
      <c r="X40" s="42">
        <f t="shared" si="17"/>
        <v>490330.41</v>
      </c>
      <c r="Y40" s="62">
        <v>490330.41</v>
      </c>
      <c r="Z40" s="159"/>
      <c r="AA40" s="42">
        <f t="shared" si="18"/>
        <v>490330.41</v>
      </c>
      <c r="AB40" s="43">
        <f t="shared" si="19"/>
        <v>0.27345158372352929</v>
      </c>
      <c r="AC40" s="56">
        <v>-54378801</v>
      </c>
      <c r="AD40" s="42">
        <v>490330.41</v>
      </c>
      <c r="AE40" s="42">
        <f t="shared" si="20"/>
        <v>54888470.590000004</v>
      </c>
      <c r="AF40" s="44">
        <f t="shared" si="15"/>
        <v>0</v>
      </c>
      <c r="AG40" s="45" t="s">
        <v>26</v>
      </c>
      <c r="AH40" s="35"/>
      <c r="AI40" s="35"/>
      <c r="AJ40" s="35" t="s">
        <v>8</v>
      </c>
      <c r="AK40" s="35" t="s">
        <v>224</v>
      </c>
      <c r="AL40" s="35" t="s">
        <v>232</v>
      </c>
      <c r="AN40" s="42">
        <f t="shared" si="21"/>
        <v>0</v>
      </c>
    </row>
    <row r="41" spans="1:42" s="37" customFormat="1" ht="244.8" x14ac:dyDescent="0.3">
      <c r="A41" s="37">
        <v>406</v>
      </c>
      <c r="B41" s="37" t="s">
        <v>375</v>
      </c>
      <c r="C41" s="35" t="s">
        <v>376</v>
      </c>
      <c r="D41" s="35">
        <v>3165</v>
      </c>
      <c r="E41" s="38">
        <v>44743</v>
      </c>
      <c r="F41" s="38">
        <v>45930</v>
      </c>
      <c r="G41" s="39">
        <f t="shared" si="11"/>
        <v>1187</v>
      </c>
      <c r="H41" s="40">
        <f t="shared" si="16"/>
        <v>1</v>
      </c>
      <c r="I41" s="56">
        <v>3500000</v>
      </c>
      <c r="J41" s="56">
        <v>0</v>
      </c>
      <c r="K41" s="56">
        <v>0</v>
      </c>
      <c r="L41" s="42">
        <f t="shared" si="12"/>
        <v>3500000</v>
      </c>
      <c r="M41" s="57">
        <v>3500000</v>
      </c>
      <c r="N41" s="42">
        <f t="shared" si="13"/>
        <v>0</v>
      </c>
      <c r="O41" s="45">
        <v>3500000</v>
      </c>
      <c r="P41" s="64" t="s">
        <v>377</v>
      </c>
      <c r="Q41" s="35" t="s">
        <v>378</v>
      </c>
      <c r="R41" s="35" t="s">
        <v>379</v>
      </c>
      <c r="S41" s="35" t="s">
        <v>380</v>
      </c>
      <c r="T41" s="69" t="s">
        <v>381</v>
      </c>
      <c r="U41" s="35" t="s">
        <v>26</v>
      </c>
      <c r="V41" s="61">
        <v>3500000</v>
      </c>
      <c r="W41" s="167">
        <v>0</v>
      </c>
      <c r="X41" s="42">
        <f t="shared" si="17"/>
        <v>3500000</v>
      </c>
      <c r="Y41" s="62">
        <v>3484249.34</v>
      </c>
      <c r="Z41" s="160"/>
      <c r="AA41" s="42">
        <f t="shared" si="18"/>
        <v>3484249.34</v>
      </c>
      <c r="AB41" s="43">
        <f t="shared" si="19"/>
        <v>0.99549981142857136</v>
      </c>
      <c r="AC41" s="56">
        <v>0</v>
      </c>
      <c r="AD41" s="42">
        <f>O41+AC41</f>
        <v>3500000</v>
      </c>
      <c r="AE41" s="42">
        <f t="shared" si="20"/>
        <v>0</v>
      </c>
      <c r="AF41" s="44">
        <f t="shared" si="15"/>
        <v>0</v>
      </c>
      <c r="AG41" s="45" t="s">
        <v>121</v>
      </c>
      <c r="AH41" s="35" t="s">
        <v>382</v>
      </c>
      <c r="AI41" s="68" t="s">
        <v>383</v>
      </c>
      <c r="AJ41" s="35" t="s">
        <v>15</v>
      </c>
      <c r="AK41" s="35" t="s">
        <v>25</v>
      </c>
      <c r="AL41" s="35" t="s">
        <v>232</v>
      </c>
      <c r="AN41" s="42">
        <f t="shared" si="21"/>
        <v>15750.660000000149</v>
      </c>
    </row>
    <row r="42" spans="1:42" s="37" customFormat="1" ht="201.6" x14ac:dyDescent="0.3">
      <c r="A42" s="37">
        <v>406</v>
      </c>
      <c r="B42" s="37" t="s">
        <v>384</v>
      </c>
      <c r="C42" s="35" t="s">
        <v>385</v>
      </c>
      <c r="D42" s="35">
        <v>3165</v>
      </c>
      <c r="E42" s="38">
        <v>44743</v>
      </c>
      <c r="F42" s="38">
        <v>46203</v>
      </c>
      <c r="G42" s="39">
        <f t="shared" si="11"/>
        <v>1460</v>
      </c>
      <c r="H42" s="40">
        <f t="shared" si="16"/>
        <v>1</v>
      </c>
      <c r="I42" s="56">
        <v>20000000</v>
      </c>
      <c r="J42" s="56">
        <v>0</v>
      </c>
      <c r="K42" s="56">
        <v>-5000000</v>
      </c>
      <c r="L42" s="42">
        <f t="shared" si="12"/>
        <v>15000000</v>
      </c>
      <c r="M42" s="57">
        <v>15000000</v>
      </c>
      <c r="N42" s="42">
        <f t="shared" si="13"/>
        <v>0</v>
      </c>
      <c r="O42" s="45">
        <v>20000000</v>
      </c>
      <c r="P42" s="64" t="s">
        <v>386</v>
      </c>
      <c r="Q42" s="35" t="s">
        <v>387</v>
      </c>
      <c r="R42" s="35" t="s">
        <v>388</v>
      </c>
      <c r="S42" s="35" t="s">
        <v>389</v>
      </c>
      <c r="T42" s="65" t="s">
        <v>390</v>
      </c>
      <c r="U42" s="35" t="s">
        <v>26</v>
      </c>
      <c r="V42" s="61">
        <v>15000000</v>
      </c>
      <c r="W42" s="167"/>
      <c r="X42" s="42">
        <f t="shared" si="17"/>
        <v>15000000</v>
      </c>
      <c r="Y42" s="62">
        <v>13908431.630000001</v>
      </c>
      <c r="Z42" s="160"/>
      <c r="AA42" s="42">
        <f t="shared" si="18"/>
        <v>13908431.630000001</v>
      </c>
      <c r="AB42" s="43">
        <f t="shared" si="19"/>
        <v>0.6954215815</v>
      </c>
      <c r="AC42" s="56">
        <v>-5000000</v>
      </c>
      <c r="AD42" s="42">
        <f>O42+AC42</f>
        <v>15000000</v>
      </c>
      <c r="AE42" s="42">
        <f t="shared" si="20"/>
        <v>0</v>
      </c>
      <c r="AF42" s="44">
        <f t="shared" si="15"/>
        <v>0</v>
      </c>
      <c r="AG42" s="45" t="s">
        <v>121</v>
      </c>
      <c r="AH42" s="35">
        <v>69</v>
      </c>
      <c r="AI42" s="41" t="s">
        <v>391</v>
      </c>
      <c r="AJ42" s="35" t="s">
        <v>8</v>
      </c>
      <c r="AK42" s="35" t="s">
        <v>25</v>
      </c>
      <c r="AL42" s="35" t="s">
        <v>232</v>
      </c>
      <c r="AN42" s="42">
        <f t="shared" si="21"/>
        <v>1091568.3699999992</v>
      </c>
    </row>
    <row r="43" spans="1:42" s="37" customFormat="1" ht="172.8" x14ac:dyDescent="0.3">
      <c r="A43" s="37">
        <v>406</v>
      </c>
      <c r="B43" s="37" t="s">
        <v>392</v>
      </c>
      <c r="C43" s="35" t="s">
        <v>393</v>
      </c>
      <c r="D43" s="35">
        <v>3165</v>
      </c>
      <c r="E43" s="38">
        <v>44743</v>
      </c>
      <c r="F43" s="38">
        <v>46022</v>
      </c>
      <c r="G43" s="39">
        <f t="shared" si="11"/>
        <v>1279</v>
      </c>
      <c r="H43" s="40">
        <f t="shared" si="16"/>
        <v>0.90539483971853008</v>
      </c>
      <c r="I43" s="56">
        <v>10000000</v>
      </c>
      <c r="J43" s="56">
        <v>-5000000</v>
      </c>
      <c r="K43" s="56">
        <v>-1900000</v>
      </c>
      <c r="L43" s="42">
        <f t="shared" si="12"/>
        <v>3100000</v>
      </c>
      <c r="M43" s="57">
        <v>3100000</v>
      </c>
      <c r="N43" s="42">
        <f t="shared" si="13"/>
        <v>0</v>
      </c>
      <c r="O43" s="45">
        <v>10000000</v>
      </c>
      <c r="P43" s="64" t="s">
        <v>394</v>
      </c>
      <c r="Q43" s="35" t="s">
        <v>395</v>
      </c>
      <c r="R43" s="35" t="s">
        <v>396</v>
      </c>
      <c r="S43" s="35" t="s">
        <v>397</v>
      </c>
      <c r="T43" s="65" t="s">
        <v>398</v>
      </c>
      <c r="U43" s="35" t="s">
        <v>22</v>
      </c>
      <c r="V43" s="61">
        <v>2103303</v>
      </c>
      <c r="W43" s="167">
        <v>996697</v>
      </c>
      <c r="X43" s="42">
        <f t="shared" si="17"/>
        <v>3100000</v>
      </c>
      <c r="Y43" s="62">
        <v>2675969.54</v>
      </c>
      <c r="Z43" s="160">
        <v>160311.28</v>
      </c>
      <c r="AA43" s="42">
        <f t="shared" si="18"/>
        <v>2836280.82</v>
      </c>
      <c r="AB43" s="43">
        <f t="shared" si="19"/>
        <v>0.283628082</v>
      </c>
      <c r="AC43" s="56">
        <v>-6900000</v>
      </c>
      <c r="AD43" s="42">
        <f>O43+AC43</f>
        <v>3100000</v>
      </c>
      <c r="AE43" s="42">
        <f t="shared" si="20"/>
        <v>0</v>
      </c>
      <c r="AF43" s="44">
        <f t="shared" si="15"/>
        <v>0</v>
      </c>
      <c r="AG43" s="45" t="s">
        <v>121</v>
      </c>
      <c r="AH43" s="35" t="s">
        <v>21</v>
      </c>
      <c r="AI43" s="41" t="s">
        <v>391</v>
      </c>
      <c r="AJ43" s="35" t="s">
        <v>15</v>
      </c>
      <c r="AK43" s="35" t="s">
        <v>25</v>
      </c>
      <c r="AL43" s="35" t="s">
        <v>232</v>
      </c>
      <c r="AN43" s="42">
        <f t="shared" si="21"/>
        <v>263719.18000000017</v>
      </c>
    </row>
    <row r="44" spans="1:42" s="37" customFormat="1" ht="409.6" x14ac:dyDescent="0.3">
      <c r="A44" s="37">
        <v>406</v>
      </c>
      <c r="B44" s="37" t="s">
        <v>399</v>
      </c>
      <c r="C44" s="35" t="s">
        <v>400</v>
      </c>
      <c r="D44" s="35">
        <v>3165</v>
      </c>
      <c r="E44" s="38">
        <v>44743</v>
      </c>
      <c r="F44" s="38">
        <v>45473</v>
      </c>
      <c r="G44" s="39">
        <f t="shared" si="11"/>
        <v>730</v>
      </c>
      <c r="H44" s="40">
        <f t="shared" si="16"/>
        <v>1</v>
      </c>
      <c r="I44" s="56">
        <v>1956000</v>
      </c>
      <c r="J44" s="56">
        <v>-1956000</v>
      </c>
      <c r="K44" s="56">
        <v>0</v>
      </c>
      <c r="L44" s="42">
        <f t="shared" si="12"/>
        <v>0</v>
      </c>
      <c r="M44" s="57">
        <v>1956000</v>
      </c>
      <c r="N44" s="42">
        <f t="shared" si="13"/>
        <v>-1956000</v>
      </c>
      <c r="O44" s="45">
        <v>1956000</v>
      </c>
      <c r="P44" s="58" t="s">
        <v>401</v>
      </c>
      <c r="Q44" s="35" t="s">
        <v>402</v>
      </c>
      <c r="R44" s="35" t="s">
        <v>403</v>
      </c>
      <c r="S44" s="35" t="s">
        <v>404</v>
      </c>
      <c r="T44" s="67" t="s">
        <v>405</v>
      </c>
      <c r="U44" s="35" t="s">
        <v>26</v>
      </c>
      <c r="V44" s="61">
        <v>0</v>
      </c>
      <c r="W44" s="167"/>
      <c r="X44" s="42">
        <f t="shared" si="17"/>
        <v>0</v>
      </c>
      <c r="Y44" s="62">
        <v>0</v>
      </c>
      <c r="Z44" s="159"/>
      <c r="AA44" s="42">
        <f t="shared" si="18"/>
        <v>0</v>
      </c>
      <c r="AB44" s="43">
        <f t="shared" si="19"/>
        <v>0</v>
      </c>
      <c r="AC44" s="56">
        <v>-1956000</v>
      </c>
      <c r="AD44" s="42">
        <f>O44+AC44</f>
        <v>0</v>
      </c>
      <c r="AE44" s="42">
        <f t="shared" si="20"/>
        <v>1956000</v>
      </c>
      <c r="AF44" s="44">
        <f t="shared" si="15"/>
        <v>0</v>
      </c>
      <c r="AG44" s="45" t="s">
        <v>121</v>
      </c>
      <c r="AH44" s="35" t="s">
        <v>406</v>
      </c>
      <c r="AI44" s="68" t="s">
        <v>407</v>
      </c>
      <c r="AJ44" s="35" t="s">
        <v>15</v>
      </c>
      <c r="AK44" s="35" t="s">
        <v>25</v>
      </c>
      <c r="AL44" s="35" t="s">
        <v>232</v>
      </c>
      <c r="AN44" s="42">
        <f t="shared" si="21"/>
        <v>0</v>
      </c>
    </row>
    <row r="45" spans="1:42" s="37" customFormat="1" ht="388.8" x14ac:dyDescent="0.3">
      <c r="A45" s="37">
        <v>406</v>
      </c>
      <c r="B45" s="37" t="s">
        <v>408</v>
      </c>
      <c r="C45" s="35" t="s">
        <v>409</v>
      </c>
      <c r="D45" s="35">
        <v>3168</v>
      </c>
      <c r="E45" s="38">
        <v>44854</v>
      </c>
      <c r="F45" s="38">
        <v>45473</v>
      </c>
      <c r="G45" s="39">
        <f t="shared" si="11"/>
        <v>619</v>
      </c>
      <c r="H45" s="40">
        <f t="shared" si="16"/>
        <v>1</v>
      </c>
      <c r="I45" s="56">
        <v>862544</v>
      </c>
      <c r="J45" s="56">
        <v>-139229</v>
      </c>
      <c r="K45" s="56">
        <v>0</v>
      </c>
      <c r="L45" s="42">
        <f t="shared" si="12"/>
        <v>723315</v>
      </c>
      <c r="M45" s="57">
        <v>862544</v>
      </c>
      <c r="N45" s="42">
        <f t="shared" si="13"/>
        <v>-139229</v>
      </c>
      <c r="O45" s="45">
        <v>814690.75</v>
      </c>
      <c r="P45" s="64" t="s">
        <v>410</v>
      </c>
      <c r="Q45" s="54" t="s">
        <v>411</v>
      </c>
      <c r="R45" s="35"/>
      <c r="S45" s="35"/>
      <c r="T45" s="35" t="s">
        <v>412</v>
      </c>
      <c r="U45" s="70" t="s">
        <v>26</v>
      </c>
      <c r="V45" s="61">
        <v>675461.75</v>
      </c>
      <c r="W45" s="167"/>
      <c r="X45" s="42">
        <f t="shared" si="17"/>
        <v>675461.75</v>
      </c>
      <c r="Y45" s="62">
        <v>675461.75</v>
      </c>
      <c r="Z45" s="159"/>
      <c r="AA45" s="42">
        <f t="shared" si="18"/>
        <v>675461.75</v>
      </c>
      <c r="AB45" s="43">
        <f t="shared" si="19"/>
        <v>0.829102024295722</v>
      </c>
      <c r="AC45" s="56">
        <v>-139229</v>
      </c>
      <c r="AD45" s="42">
        <f>O45+AC45</f>
        <v>675461.75</v>
      </c>
      <c r="AE45" s="42">
        <f t="shared" si="20"/>
        <v>187082.25</v>
      </c>
      <c r="AF45" s="44">
        <f t="shared" si="15"/>
        <v>0</v>
      </c>
      <c r="AG45" s="41" t="s">
        <v>413</v>
      </c>
      <c r="AH45" s="35"/>
      <c r="AI45" s="35"/>
      <c r="AJ45" s="35" t="s">
        <v>15</v>
      </c>
      <c r="AK45" s="35" t="s">
        <v>25</v>
      </c>
      <c r="AL45" s="35" t="s">
        <v>232</v>
      </c>
      <c r="AN45" s="42">
        <f t="shared" si="21"/>
        <v>0</v>
      </c>
    </row>
    <row r="46" spans="1:42" s="37" customFormat="1" ht="86.4" x14ac:dyDescent="0.3">
      <c r="A46" s="37">
        <v>406</v>
      </c>
      <c r="B46" s="71" t="s">
        <v>414</v>
      </c>
      <c r="C46" s="35" t="s">
        <v>415</v>
      </c>
      <c r="D46" s="35">
        <v>3170</v>
      </c>
      <c r="E46" s="38">
        <v>44601</v>
      </c>
      <c r="F46" s="38">
        <v>45107</v>
      </c>
      <c r="G46" s="39">
        <f t="shared" si="11"/>
        <v>506</v>
      </c>
      <c r="H46" s="40">
        <f t="shared" si="16"/>
        <v>1</v>
      </c>
      <c r="I46" s="56">
        <v>153764</v>
      </c>
      <c r="J46" s="56">
        <v>-153764</v>
      </c>
      <c r="K46" s="56">
        <v>0</v>
      </c>
      <c r="L46" s="42">
        <f t="shared" si="12"/>
        <v>0</v>
      </c>
      <c r="M46" s="57">
        <v>153764</v>
      </c>
      <c r="N46" s="42">
        <f t="shared" si="13"/>
        <v>-153764</v>
      </c>
      <c r="O46" s="45">
        <v>153764</v>
      </c>
      <c r="P46" s="58" t="s">
        <v>416</v>
      </c>
      <c r="Q46" s="35" t="s">
        <v>417</v>
      </c>
      <c r="R46" s="35" t="s">
        <v>418</v>
      </c>
      <c r="S46" s="35" t="s">
        <v>419</v>
      </c>
      <c r="T46" s="59" t="s">
        <v>420</v>
      </c>
      <c r="U46" s="35" t="s">
        <v>26</v>
      </c>
      <c r="V46" s="61">
        <v>0</v>
      </c>
      <c r="W46" s="167"/>
      <c r="X46" s="42">
        <f t="shared" si="17"/>
        <v>0</v>
      </c>
      <c r="Y46" s="72">
        <v>0</v>
      </c>
      <c r="Z46" s="159"/>
      <c r="AA46" s="42">
        <f t="shared" si="18"/>
        <v>0</v>
      </c>
      <c r="AB46" s="43">
        <f t="shared" si="19"/>
        <v>0</v>
      </c>
      <c r="AC46" s="56">
        <v>-153764</v>
      </c>
      <c r="AD46" s="42">
        <v>0</v>
      </c>
      <c r="AE46" s="42">
        <f t="shared" si="20"/>
        <v>153764</v>
      </c>
      <c r="AF46" s="44">
        <f t="shared" si="15"/>
        <v>0</v>
      </c>
      <c r="AG46" s="45" t="s">
        <v>26</v>
      </c>
      <c r="AH46" s="35" t="s">
        <v>21</v>
      </c>
      <c r="AI46" s="41">
        <v>153764</v>
      </c>
      <c r="AJ46" s="35" t="s">
        <v>15</v>
      </c>
      <c r="AK46" s="35" t="s">
        <v>20</v>
      </c>
      <c r="AL46" s="35" t="s">
        <v>232</v>
      </c>
      <c r="AN46" s="42">
        <f t="shared" si="21"/>
        <v>0</v>
      </c>
    </row>
    <row r="47" spans="1:42" s="37" customFormat="1" ht="158.4" x14ac:dyDescent="0.3">
      <c r="A47" s="37">
        <v>406</v>
      </c>
      <c r="B47" s="37" t="s">
        <v>421</v>
      </c>
      <c r="C47" s="35" t="s">
        <v>422</v>
      </c>
      <c r="D47" s="35">
        <v>3170</v>
      </c>
      <c r="E47" s="38">
        <v>44655</v>
      </c>
      <c r="F47" s="38">
        <v>45291</v>
      </c>
      <c r="G47" s="39">
        <f t="shared" si="11"/>
        <v>636</v>
      </c>
      <c r="H47" s="40">
        <f t="shared" si="16"/>
        <v>1</v>
      </c>
      <c r="I47" s="56">
        <v>169565</v>
      </c>
      <c r="J47" s="56">
        <v>0</v>
      </c>
      <c r="K47" s="56">
        <v>-100162.2</v>
      </c>
      <c r="L47" s="42">
        <f t="shared" si="12"/>
        <v>69402.8</v>
      </c>
      <c r="M47" s="57">
        <v>169565</v>
      </c>
      <c r="N47" s="42">
        <f t="shared" si="13"/>
        <v>-100162.2</v>
      </c>
      <c r="O47" s="45">
        <v>169565</v>
      </c>
      <c r="P47" s="64" t="s">
        <v>423</v>
      </c>
      <c r="Q47" s="35" t="s">
        <v>424</v>
      </c>
      <c r="R47" s="35" t="s">
        <v>425</v>
      </c>
      <c r="S47" s="35" t="s">
        <v>426</v>
      </c>
      <c r="T47" s="59" t="s">
        <v>427</v>
      </c>
      <c r="U47" s="35" t="s">
        <v>26</v>
      </c>
      <c r="V47" s="61">
        <v>69402.8</v>
      </c>
      <c r="W47" s="167"/>
      <c r="X47" s="42">
        <f t="shared" si="17"/>
        <v>69402.8</v>
      </c>
      <c r="Y47" s="62">
        <v>69402.8</v>
      </c>
      <c r="Z47" s="159"/>
      <c r="AA47" s="42">
        <f t="shared" si="18"/>
        <v>69402.8</v>
      </c>
      <c r="AB47" s="43">
        <f t="shared" si="19"/>
        <v>0.40929908884498573</v>
      </c>
      <c r="AC47" s="56">
        <v>-100162.2</v>
      </c>
      <c r="AD47" s="42">
        <f t="shared" ref="AD47:AD78" si="22">O47+AC47</f>
        <v>69402.8</v>
      </c>
      <c r="AE47" s="42">
        <f t="shared" si="20"/>
        <v>100162.2</v>
      </c>
      <c r="AF47" s="44">
        <f t="shared" si="15"/>
        <v>0</v>
      </c>
      <c r="AG47" s="45" t="s">
        <v>26</v>
      </c>
      <c r="AH47" s="35" t="s">
        <v>21</v>
      </c>
      <c r="AI47" s="41">
        <v>169565</v>
      </c>
      <c r="AJ47" s="35" t="s">
        <v>15</v>
      </c>
      <c r="AK47" s="35" t="s">
        <v>20</v>
      </c>
      <c r="AL47" s="35" t="s">
        <v>232</v>
      </c>
      <c r="AN47" s="42">
        <f t="shared" si="21"/>
        <v>0</v>
      </c>
    </row>
    <row r="48" spans="1:42" s="37" customFormat="1" ht="57.6" x14ac:dyDescent="0.3">
      <c r="A48" s="37">
        <v>406</v>
      </c>
      <c r="B48" s="37" t="s">
        <v>428</v>
      </c>
      <c r="C48" s="35" t="s">
        <v>429</v>
      </c>
      <c r="D48" s="35">
        <v>3170</v>
      </c>
      <c r="E48" s="38">
        <v>44854</v>
      </c>
      <c r="F48" s="38">
        <v>45747</v>
      </c>
      <c r="G48" s="39">
        <f t="shared" si="11"/>
        <v>893</v>
      </c>
      <c r="H48" s="40">
        <f t="shared" si="16"/>
        <v>1.1724524076147815</v>
      </c>
      <c r="I48" s="56">
        <v>1956011</v>
      </c>
      <c r="J48" s="56">
        <v>0</v>
      </c>
      <c r="K48" s="56">
        <v>0</v>
      </c>
      <c r="L48" s="42">
        <f t="shared" si="12"/>
        <v>1956011</v>
      </c>
      <c r="M48" s="57">
        <v>1956011</v>
      </c>
      <c r="N48" s="42">
        <f t="shared" si="13"/>
        <v>0</v>
      </c>
      <c r="O48" s="45">
        <v>1956011</v>
      </c>
      <c r="P48" s="64" t="s">
        <v>430</v>
      </c>
      <c r="Q48" s="35" t="s">
        <v>431</v>
      </c>
      <c r="R48" s="35" t="s">
        <v>432</v>
      </c>
      <c r="S48" s="35" t="s">
        <v>433</v>
      </c>
      <c r="T48" s="184" t="s">
        <v>434</v>
      </c>
      <c r="U48" s="35" t="s">
        <v>22</v>
      </c>
      <c r="V48" s="61">
        <v>1956011</v>
      </c>
      <c r="W48" s="167"/>
      <c r="X48" s="42">
        <f t="shared" si="17"/>
        <v>1956011</v>
      </c>
      <c r="Y48" s="62">
        <v>1682170.19</v>
      </c>
      <c r="Z48" s="172">
        <v>272848.13</v>
      </c>
      <c r="AA48" s="42">
        <f t="shared" si="18"/>
        <v>1955018.3199999998</v>
      </c>
      <c r="AB48" s="43">
        <f t="shared" si="19"/>
        <v>0.999492497741577</v>
      </c>
      <c r="AC48" s="56"/>
      <c r="AD48" s="42">
        <f t="shared" si="22"/>
        <v>1956011</v>
      </c>
      <c r="AE48" s="42">
        <f t="shared" si="20"/>
        <v>0</v>
      </c>
      <c r="AF48" s="44">
        <f t="shared" si="15"/>
        <v>0</v>
      </c>
      <c r="AG48" s="45" t="s">
        <v>121</v>
      </c>
      <c r="AH48" s="35"/>
      <c r="AI48" s="35"/>
      <c r="AJ48" s="35" t="s">
        <v>15</v>
      </c>
      <c r="AK48" s="35" t="s">
        <v>25</v>
      </c>
      <c r="AL48" s="35" t="s">
        <v>232</v>
      </c>
      <c r="AN48" s="42">
        <f t="shared" si="21"/>
        <v>992.68000000016764</v>
      </c>
      <c r="AO48" s="73"/>
    </row>
    <row r="49" spans="1:42" s="37" customFormat="1" ht="43.2" x14ac:dyDescent="0.3">
      <c r="A49" s="37">
        <v>406</v>
      </c>
      <c r="B49" s="37" t="s">
        <v>435</v>
      </c>
      <c r="C49" s="35" t="s">
        <v>436</v>
      </c>
      <c r="D49" s="35">
        <v>3170</v>
      </c>
      <c r="E49" s="38">
        <v>44854</v>
      </c>
      <c r="F49" s="38">
        <v>46203</v>
      </c>
      <c r="G49" s="39">
        <f t="shared" si="11"/>
        <v>1349</v>
      </c>
      <c r="H49" s="40">
        <f t="shared" si="16"/>
        <v>1</v>
      </c>
      <c r="I49" s="56">
        <v>1084810</v>
      </c>
      <c r="J49" s="56">
        <v>0</v>
      </c>
      <c r="K49" s="56">
        <v>-1084810</v>
      </c>
      <c r="L49" s="42">
        <f t="shared" si="12"/>
        <v>0</v>
      </c>
      <c r="M49" s="57">
        <v>1084810</v>
      </c>
      <c r="N49" s="42">
        <f t="shared" si="13"/>
        <v>-1084810</v>
      </c>
      <c r="O49" s="45">
        <v>1084810</v>
      </c>
      <c r="P49" s="58" t="s">
        <v>437</v>
      </c>
      <c r="Q49" s="35" t="s">
        <v>438</v>
      </c>
      <c r="R49" s="35" t="s">
        <v>439</v>
      </c>
      <c r="S49" s="35" t="s">
        <v>440</v>
      </c>
      <c r="T49" s="59" t="s">
        <v>441</v>
      </c>
      <c r="U49" s="35" t="s">
        <v>26</v>
      </c>
      <c r="V49" s="61">
        <v>0</v>
      </c>
      <c r="W49" s="167"/>
      <c r="X49" s="42">
        <f t="shared" si="17"/>
        <v>0</v>
      </c>
      <c r="Y49" s="72">
        <v>0</v>
      </c>
      <c r="Z49" s="159"/>
      <c r="AA49" s="42">
        <f t="shared" si="18"/>
        <v>0</v>
      </c>
      <c r="AB49" s="43">
        <f t="shared" si="19"/>
        <v>0</v>
      </c>
      <c r="AC49" s="56">
        <v>-1084810</v>
      </c>
      <c r="AD49" s="42">
        <f t="shared" si="22"/>
        <v>0</v>
      </c>
      <c r="AE49" s="42">
        <f t="shared" si="20"/>
        <v>1084810</v>
      </c>
      <c r="AF49" s="44">
        <f t="shared" si="15"/>
        <v>0</v>
      </c>
      <c r="AG49" s="45" t="s">
        <v>26</v>
      </c>
      <c r="AH49" s="35"/>
      <c r="AI49" s="35"/>
      <c r="AJ49" s="35" t="s">
        <v>15</v>
      </c>
      <c r="AK49" s="35" t="s">
        <v>25</v>
      </c>
      <c r="AL49" s="35" t="s">
        <v>232</v>
      </c>
      <c r="AN49" s="42">
        <f t="shared" si="21"/>
        <v>0</v>
      </c>
    </row>
    <row r="50" spans="1:42" s="73" customFormat="1" ht="230.4" x14ac:dyDescent="0.3">
      <c r="A50" s="37">
        <v>406</v>
      </c>
      <c r="B50" s="37" t="s">
        <v>442</v>
      </c>
      <c r="C50" s="35" t="s">
        <v>443</v>
      </c>
      <c r="D50" s="35">
        <v>3213</v>
      </c>
      <c r="E50" s="38">
        <v>44601</v>
      </c>
      <c r="F50" s="38">
        <v>44742</v>
      </c>
      <c r="G50" s="39">
        <f t="shared" ref="G50:G81" si="23">F50-E50</f>
        <v>141</v>
      </c>
      <c r="H50" s="40">
        <f t="shared" si="16"/>
        <v>1</v>
      </c>
      <c r="I50" s="56">
        <v>3884280</v>
      </c>
      <c r="J50" s="56">
        <v>0</v>
      </c>
      <c r="K50" s="56">
        <v>0</v>
      </c>
      <c r="L50" s="42">
        <f t="shared" ref="L50:L81" si="24">I50+J50+K50</f>
        <v>3884280</v>
      </c>
      <c r="M50" s="57">
        <v>3884280</v>
      </c>
      <c r="N50" s="42">
        <f t="shared" ref="N50:N81" si="25">L50-M50</f>
        <v>0</v>
      </c>
      <c r="O50" s="45">
        <v>3884280</v>
      </c>
      <c r="P50" s="58" t="s">
        <v>444</v>
      </c>
      <c r="Q50" s="35" t="s">
        <v>445</v>
      </c>
      <c r="R50" s="35" t="s">
        <v>446</v>
      </c>
      <c r="S50" s="35" t="s">
        <v>447</v>
      </c>
      <c r="T50" s="35" t="s">
        <v>448</v>
      </c>
      <c r="U50" s="35" t="s">
        <v>26</v>
      </c>
      <c r="V50" s="61">
        <v>3884280</v>
      </c>
      <c r="W50" s="167"/>
      <c r="X50" s="42">
        <f t="shared" si="17"/>
        <v>3884280</v>
      </c>
      <c r="Y50" s="62">
        <v>3884280</v>
      </c>
      <c r="Z50" s="159"/>
      <c r="AA50" s="42">
        <f t="shared" si="18"/>
        <v>3884280</v>
      </c>
      <c r="AB50" s="43">
        <f t="shared" si="19"/>
        <v>1</v>
      </c>
      <c r="AC50" s="56">
        <v>0</v>
      </c>
      <c r="AD50" s="42">
        <f t="shared" si="22"/>
        <v>3884280</v>
      </c>
      <c r="AE50" s="42">
        <f t="shared" si="20"/>
        <v>0</v>
      </c>
      <c r="AF50" s="44">
        <f t="shared" si="15"/>
        <v>0</v>
      </c>
      <c r="AG50" s="45" t="s">
        <v>26</v>
      </c>
      <c r="AH50" s="35" t="s">
        <v>449</v>
      </c>
      <c r="AI50" s="41">
        <v>3884280</v>
      </c>
      <c r="AJ50" s="35" t="s">
        <v>15</v>
      </c>
      <c r="AK50" s="35" t="s">
        <v>25</v>
      </c>
      <c r="AL50" s="35" t="s">
        <v>133</v>
      </c>
      <c r="AM50" s="37"/>
      <c r="AN50" s="42">
        <f t="shared" si="21"/>
        <v>0</v>
      </c>
      <c r="AO50" s="37"/>
      <c r="AP50" s="48"/>
    </row>
    <row r="51" spans="1:42" s="37" customFormat="1" ht="129.6" x14ac:dyDescent="0.3">
      <c r="A51" s="37">
        <v>406</v>
      </c>
      <c r="B51" s="37" t="s">
        <v>450</v>
      </c>
      <c r="C51" s="35" t="s">
        <v>451</v>
      </c>
      <c r="D51" s="35">
        <v>3216</v>
      </c>
      <c r="E51" s="38">
        <v>44601</v>
      </c>
      <c r="F51" s="38">
        <v>45900</v>
      </c>
      <c r="G51" s="39">
        <f t="shared" si="23"/>
        <v>1299</v>
      </c>
      <c r="H51" s="40">
        <f t="shared" si="16"/>
        <v>1.0007698229407236</v>
      </c>
      <c r="I51" s="74">
        <v>20739792</v>
      </c>
      <c r="J51" s="56">
        <f>5285296-217868</f>
        <v>5067428</v>
      </c>
      <c r="K51" s="56">
        <v>-9390199</v>
      </c>
      <c r="L51" s="42">
        <f t="shared" si="24"/>
        <v>16417021</v>
      </c>
      <c r="M51" s="57">
        <v>16417021</v>
      </c>
      <c r="N51" s="42">
        <f t="shared" si="25"/>
        <v>0</v>
      </c>
      <c r="O51" s="45">
        <v>20739792</v>
      </c>
      <c r="P51" s="64" t="s">
        <v>452</v>
      </c>
      <c r="Q51" s="35" t="s">
        <v>453</v>
      </c>
      <c r="R51" s="35" t="s">
        <v>454</v>
      </c>
      <c r="S51" s="35" t="s">
        <v>455</v>
      </c>
      <c r="T51" s="65" t="s">
        <v>456</v>
      </c>
      <c r="U51" s="35" t="s">
        <v>22</v>
      </c>
      <c r="V51" s="61">
        <v>16638609.960000001</v>
      </c>
      <c r="W51" s="167"/>
      <c r="X51" s="42">
        <f t="shared" si="17"/>
        <v>16638609.960000001</v>
      </c>
      <c r="Y51" s="62">
        <v>15725253.27</v>
      </c>
      <c r="Z51" s="160">
        <v>470180.77</v>
      </c>
      <c r="AA51" s="42">
        <f t="shared" si="18"/>
        <v>16195434.039999999</v>
      </c>
      <c r="AB51" s="43">
        <f t="shared" si="19"/>
        <v>0.78088700407410061</v>
      </c>
      <c r="AC51" s="56">
        <f>-9390199+5285296-217868</f>
        <v>-4322771</v>
      </c>
      <c r="AD51" s="42">
        <f t="shared" si="22"/>
        <v>16417021</v>
      </c>
      <c r="AE51" s="42">
        <f t="shared" si="20"/>
        <v>0</v>
      </c>
      <c r="AF51" s="44">
        <f t="shared" si="15"/>
        <v>-221588.96000000089</v>
      </c>
      <c r="AG51" s="45" t="s">
        <v>121</v>
      </c>
      <c r="AH51" s="35" t="s">
        <v>21</v>
      </c>
      <c r="AI51" s="41">
        <v>20739792</v>
      </c>
      <c r="AJ51" s="35" t="s">
        <v>15</v>
      </c>
      <c r="AK51" s="35" t="s">
        <v>25</v>
      </c>
      <c r="AL51" s="35" t="s">
        <v>133</v>
      </c>
      <c r="AN51" s="42">
        <f t="shared" si="21"/>
        <v>221586.96000000089</v>
      </c>
    </row>
    <row r="52" spans="1:42" s="37" customFormat="1" ht="86.4" x14ac:dyDescent="0.3">
      <c r="A52" s="37">
        <v>406</v>
      </c>
      <c r="B52" s="37" t="s">
        <v>457</v>
      </c>
      <c r="C52" s="35" t="s">
        <v>458</v>
      </c>
      <c r="D52" s="35">
        <v>3218</v>
      </c>
      <c r="E52" s="38">
        <v>44562</v>
      </c>
      <c r="F52" s="38">
        <v>45107</v>
      </c>
      <c r="G52" s="39">
        <f t="shared" si="23"/>
        <v>545</v>
      </c>
      <c r="H52" s="40">
        <f t="shared" si="16"/>
        <v>1</v>
      </c>
      <c r="I52" s="56">
        <v>5000000</v>
      </c>
      <c r="J52" s="56">
        <v>-164</v>
      </c>
      <c r="K52" s="56">
        <v>0</v>
      </c>
      <c r="L52" s="42">
        <f t="shared" si="24"/>
        <v>4999836</v>
      </c>
      <c r="M52" s="57">
        <v>5000000</v>
      </c>
      <c r="N52" s="42">
        <f t="shared" si="25"/>
        <v>-164</v>
      </c>
      <c r="O52" s="45">
        <v>5000000</v>
      </c>
      <c r="P52" s="58" t="s">
        <v>459</v>
      </c>
      <c r="Q52" s="35" t="s">
        <v>460</v>
      </c>
      <c r="R52" s="35" t="s">
        <v>461</v>
      </c>
      <c r="S52" s="35" t="s">
        <v>462</v>
      </c>
      <c r="T52" s="35" t="s">
        <v>463</v>
      </c>
      <c r="U52" s="35" t="s">
        <v>26</v>
      </c>
      <c r="V52" s="61">
        <v>4999836</v>
      </c>
      <c r="W52" s="167"/>
      <c r="X52" s="42">
        <f t="shared" si="17"/>
        <v>4999836</v>
      </c>
      <c r="Y52" s="62">
        <v>4999836</v>
      </c>
      <c r="Z52" s="159"/>
      <c r="AA52" s="42">
        <f t="shared" si="18"/>
        <v>4999836</v>
      </c>
      <c r="AB52" s="43">
        <f t="shared" si="19"/>
        <v>0.99996719999999994</v>
      </c>
      <c r="AC52" s="56">
        <v>-164</v>
      </c>
      <c r="AD52" s="42">
        <f t="shared" si="22"/>
        <v>4999836</v>
      </c>
      <c r="AE52" s="42">
        <f t="shared" si="20"/>
        <v>164</v>
      </c>
      <c r="AF52" s="44">
        <f t="shared" si="15"/>
        <v>0</v>
      </c>
      <c r="AG52" s="45" t="s">
        <v>26</v>
      </c>
      <c r="AH52" s="35" t="s">
        <v>464</v>
      </c>
      <c r="AI52" s="41">
        <v>5000000</v>
      </c>
      <c r="AJ52" s="35" t="s">
        <v>15</v>
      </c>
      <c r="AK52" s="35" t="s">
        <v>25</v>
      </c>
      <c r="AL52" s="35" t="s">
        <v>133</v>
      </c>
      <c r="AN52" s="42">
        <f t="shared" si="21"/>
        <v>0</v>
      </c>
    </row>
    <row r="53" spans="1:42" s="37" customFormat="1" ht="115.2" x14ac:dyDescent="0.3">
      <c r="A53" s="37">
        <v>406</v>
      </c>
      <c r="B53" s="37" t="s">
        <v>465</v>
      </c>
      <c r="C53" s="35" t="s">
        <v>466</v>
      </c>
      <c r="D53" s="35">
        <v>3218</v>
      </c>
      <c r="E53" s="38">
        <v>44562</v>
      </c>
      <c r="F53" s="38">
        <v>44926</v>
      </c>
      <c r="G53" s="39">
        <f t="shared" si="23"/>
        <v>364</v>
      </c>
      <c r="H53" s="40">
        <f t="shared" si="16"/>
        <v>1</v>
      </c>
      <c r="I53" s="56">
        <v>17559408</v>
      </c>
      <c r="J53" s="56">
        <v>-8299851.7300000004</v>
      </c>
      <c r="K53" s="56">
        <v>0</v>
      </c>
      <c r="L53" s="42">
        <f t="shared" si="24"/>
        <v>9259556.2699999996</v>
      </c>
      <c r="M53" s="57">
        <v>17559408</v>
      </c>
      <c r="N53" s="42">
        <f t="shared" si="25"/>
        <v>-8299851.7300000004</v>
      </c>
      <c r="O53" s="45">
        <v>17559408</v>
      </c>
      <c r="P53" s="64" t="s">
        <v>467</v>
      </c>
      <c r="Q53" s="35" t="s">
        <v>468</v>
      </c>
      <c r="R53" s="35" t="s">
        <v>469</v>
      </c>
      <c r="S53" s="35" t="s">
        <v>470</v>
      </c>
      <c r="T53" s="35" t="s">
        <v>471</v>
      </c>
      <c r="U53" s="35" t="s">
        <v>26</v>
      </c>
      <c r="V53" s="61">
        <v>9259556.2699999996</v>
      </c>
      <c r="W53" s="167"/>
      <c r="X53" s="42">
        <f t="shared" si="17"/>
        <v>9259556.2699999996</v>
      </c>
      <c r="Y53" s="62">
        <v>9259556.2699999996</v>
      </c>
      <c r="Z53" s="159"/>
      <c r="AA53" s="42">
        <f t="shared" si="18"/>
        <v>9259556.2699999996</v>
      </c>
      <c r="AB53" s="43">
        <f t="shared" si="19"/>
        <v>0.52732736035292305</v>
      </c>
      <c r="AC53" s="56">
        <v>-8299851.7300000004</v>
      </c>
      <c r="AD53" s="42">
        <f t="shared" si="22"/>
        <v>9259556.2699999996</v>
      </c>
      <c r="AE53" s="42">
        <f t="shared" si="20"/>
        <v>8299851.7300000004</v>
      </c>
      <c r="AF53" s="44">
        <f t="shared" si="15"/>
        <v>0</v>
      </c>
      <c r="AG53" s="45" t="s">
        <v>26</v>
      </c>
      <c r="AH53" s="35" t="s">
        <v>21</v>
      </c>
      <c r="AI53" s="41">
        <v>17559408</v>
      </c>
      <c r="AJ53" s="35" t="s">
        <v>15</v>
      </c>
      <c r="AK53" s="35" t="s">
        <v>25</v>
      </c>
      <c r="AL53" s="35" t="s">
        <v>133</v>
      </c>
      <c r="AN53" s="42">
        <f t="shared" si="21"/>
        <v>0</v>
      </c>
    </row>
    <row r="54" spans="1:42" s="37" customFormat="1" ht="57.6" x14ac:dyDescent="0.3">
      <c r="A54" s="37">
        <v>406</v>
      </c>
      <c r="B54" s="37" t="s">
        <v>472</v>
      </c>
      <c r="C54" s="35" t="s">
        <v>473</v>
      </c>
      <c r="D54" s="35">
        <v>3218</v>
      </c>
      <c r="E54" s="38">
        <v>44562</v>
      </c>
      <c r="F54" s="38">
        <v>45107</v>
      </c>
      <c r="G54" s="39">
        <f t="shared" si="23"/>
        <v>545</v>
      </c>
      <c r="H54" s="40">
        <f t="shared" si="16"/>
        <v>1</v>
      </c>
      <c r="I54" s="56">
        <v>19613518</v>
      </c>
      <c r="J54" s="56">
        <v>-10</v>
      </c>
      <c r="K54" s="56">
        <v>0</v>
      </c>
      <c r="L54" s="42">
        <f t="shared" si="24"/>
        <v>19613508</v>
      </c>
      <c r="M54" s="57">
        <v>19613518</v>
      </c>
      <c r="N54" s="42">
        <f t="shared" si="25"/>
        <v>-10</v>
      </c>
      <c r="O54" s="45">
        <v>19613528</v>
      </c>
      <c r="P54" s="58" t="s">
        <v>474</v>
      </c>
      <c r="Q54" s="35" t="s">
        <v>475</v>
      </c>
      <c r="R54" s="35" t="s">
        <v>476</v>
      </c>
      <c r="S54" s="35" t="s">
        <v>477</v>
      </c>
      <c r="T54" s="35" t="s">
        <v>478</v>
      </c>
      <c r="U54" s="35" t="s">
        <v>26</v>
      </c>
      <c r="V54" s="61">
        <v>19613518</v>
      </c>
      <c r="W54" s="167"/>
      <c r="X54" s="42">
        <f t="shared" si="17"/>
        <v>19613518</v>
      </c>
      <c r="Y54" s="62">
        <v>19613518</v>
      </c>
      <c r="Z54" s="159"/>
      <c r="AA54" s="42">
        <f t="shared" si="18"/>
        <v>19613518</v>
      </c>
      <c r="AB54" s="43">
        <f t="shared" si="19"/>
        <v>0.99999949014782041</v>
      </c>
      <c r="AC54" s="56">
        <v>-10</v>
      </c>
      <c r="AD54" s="42">
        <f t="shared" si="22"/>
        <v>19613518</v>
      </c>
      <c r="AE54" s="42">
        <f t="shared" si="20"/>
        <v>0</v>
      </c>
      <c r="AF54" s="44">
        <f t="shared" si="15"/>
        <v>0</v>
      </c>
      <c r="AG54" s="45" t="s">
        <v>26</v>
      </c>
      <c r="AH54" s="35" t="s">
        <v>21</v>
      </c>
      <c r="AI54" s="41">
        <v>19613528</v>
      </c>
      <c r="AJ54" s="35" t="s">
        <v>15</v>
      </c>
      <c r="AK54" s="35" t="s">
        <v>25</v>
      </c>
      <c r="AL54" s="35" t="s">
        <v>133</v>
      </c>
      <c r="AN54" s="42">
        <f t="shared" si="21"/>
        <v>0</v>
      </c>
    </row>
    <row r="55" spans="1:42" s="37" customFormat="1" ht="124.2" x14ac:dyDescent="0.3">
      <c r="A55" s="37">
        <v>406</v>
      </c>
      <c r="B55" s="37" t="s">
        <v>479</v>
      </c>
      <c r="C55" s="35" t="s">
        <v>480</v>
      </c>
      <c r="D55" s="35">
        <v>3219</v>
      </c>
      <c r="E55" s="38">
        <v>44854</v>
      </c>
      <c r="F55" s="38">
        <v>46387</v>
      </c>
      <c r="G55" s="39">
        <f t="shared" si="23"/>
        <v>1533</v>
      </c>
      <c r="H55" s="40">
        <f t="shared" si="16"/>
        <v>0.68297455968688847</v>
      </c>
      <c r="I55" s="76">
        <v>5000000</v>
      </c>
      <c r="J55" s="56">
        <v>0</v>
      </c>
      <c r="K55" s="56">
        <v>0</v>
      </c>
      <c r="L55" s="42">
        <f t="shared" si="24"/>
        <v>5000000</v>
      </c>
      <c r="M55" s="57">
        <v>5000000</v>
      </c>
      <c r="N55" s="42">
        <f t="shared" si="25"/>
        <v>0</v>
      </c>
      <c r="O55" s="45">
        <v>5000000</v>
      </c>
      <c r="P55" s="64" t="s">
        <v>481</v>
      </c>
      <c r="Q55" s="35" t="s">
        <v>482</v>
      </c>
      <c r="R55" s="35" t="s">
        <v>483</v>
      </c>
      <c r="S55" s="35" t="s">
        <v>484</v>
      </c>
      <c r="T55" s="32" t="s">
        <v>485</v>
      </c>
      <c r="U55" s="35" t="s">
        <v>17</v>
      </c>
      <c r="V55" s="61">
        <v>5000000</v>
      </c>
      <c r="W55" s="167"/>
      <c r="X55" s="42">
        <f t="shared" si="17"/>
        <v>5000000</v>
      </c>
      <c r="Y55" s="62">
        <v>1294700.28</v>
      </c>
      <c r="Z55" s="160">
        <v>442949.46</v>
      </c>
      <c r="AA55" s="42">
        <f t="shared" si="18"/>
        <v>1737649.74</v>
      </c>
      <c r="AB55" s="43">
        <f t="shared" si="19"/>
        <v>0.34752994799999998</v>
      </c>
      <c r="AC55" s="56">
        <v>0</v>
      </c>
      <c r="AD55" s="42">
        <f t="shared" si="22"/>
        <v>5000000</v>
      </c>
      <c r="AE55" s="42">
        <f t="shared" si="20"/>
        <v>0</v>
      </c>
      <c r="AF55" s="44">
        <f t="shared" si="15"/>
        <v>0</v>
      </c>
      <c r="AG55" s="45" t="s">
        <v>121</v>
      </c>
      <c r="AH55" s="35"/>
      <c r="AI55" s="35"/>
      <c r="AJ55" s="35" t="s">
        <v>15</v>
      </c>
      <c r="AK55" s="35" t="s">
        <v>25</v>
      </c>
      <c r="AL55" s="35" t="s">
        <v>149</v>
      </c>
      <c r="AN55" s="42">
        <f t="shared" si="21"/>
        <v>3262350.26</v>
      </c>
    </row>
    <row r="56" spans="1:42" s="37" customFormat="1" ht="187.2" x14ac:dyDescent="0.3">
      <c r="A56" s="37">
        <v>406</v>
      </c>
      <c r="B56" s="37" t="s">
        <v>486</v>
      </c>
      <c r="C56" s="35" t="s">
        <v>487</v>
      </c>
      <c r="D56" s="35">
        <v>3219</v>
      </c>
      <c r="E56" s="38">
        <v>44854</v>
      </c>
      <c r="F56" s="38">
        <v>46203</v>
      </c>
      <c r="G56" s="39">
        <f t="shared" si="23"/>
        <v>1349</v>
      </c>
      <c r="H56" s="40">
        <f t="shared" si="16"/>
        <v>0.77613046701260191</v>
      </c>
      <c r="I56" s="56">
        <v>1500000</v>
      </c>
      <c r="J56" s="56">
        <v>0</v>
      </c>
      <c r="K56" s="56">
        <v>0</v>
      </c>
      <c r="L56" s="42">
        <f t="shared" si="24"/>
        <v>1500000</v>
      </c>
      <c r="M56" s="57">
        <v>1500000</v>
      </c>
      <c r="N56" s="42">
        <f t="shared" si="25"/>
        <v>0</v>
      </c>
      <c r="O56" s="45">
        <v>1500000</v>
      </c>
      <c r="P56" s="64" t="s">
        <v>488</v>
      </c>
      <c r="Q56" s="35" t="s">
        <v>489</v>
      </c>
      <c r="R56" s="35" t="s">
        <v>21</v>
      </c>
      <c r="S56" s="35" t="s">
        <v>21</v>
      </c>
      <c r="T56" s="155" t="s">
        <v>490</v>
      </c>
      <c r="U56" s="35" t="s">
        <v>22</v>
      </c>
      <c r="V56" s="61">
        <v>1500000</v>
      </c>
      <c r="W56" s="167"/>
      <c r="X56" s="42">
        <f t="shared" si="17"/>
        <v>1500000</v>
      </c>
      <c r="Y56" s="62">
        <v>795489.52</v>
      </c>
      <c r="Z56" s="160">
        <v>0</v>
      </c>
      <c r="AA56" s="42">
        <f t="shared" si="18"/>
        <v>795489.52</v>
      </c>
      <c r="AB56" s="43">
        <f t="shared" si="19"/>
        <v>0.53032634666666667</v>
      </c>
      <c r="AC56" s="56">
        <v>0</v>
      </c>
      <c r="AD56" s="42">
        <f t="shared" si="22"/>
        <v>1500000</v>
      </c>
      <c r="AE56" s="42">
        <f t="shared" si="20"/>
        <v>0</v>
      </c>
      <c r="AF56" s="44">
        <f t="shared" si="15"/>
        <v>0</v>
      </c>
      <c r="AG56" s="77" t="s">
        <v>491</v>
      </c>
      <c r="AH56" s="35"/>
      <c r="AI56" s="35"/>
      <c r="AJ56" s="35" t="s">
        <v>15</v>
      </c>
      <c r="AK56" s="35" t="s">
        <v>25</v>
      </c>
      <c r="AL56" s="35" t="s">
        <v>133</v>
      </c>
      <c r="AN56" s="42">
        <f t="shared" si="21"/>
        <v>704510.48</v>
      </c>
    </row>
    <row r="57" spans="1:42" s="37" customFormat="1" ht="409.5" customHeight="1" x14ac:dyDescent="0.3">
      <c r="A57" s="37">
        <v>406</v>
      </c>
      <c r="B57" s="37" t="s">
        <v>492</v>
      </c>
      <c r="C57" s="35" t="s">
        <v>493</v>
      </c>
      <c r="D57" s="35">
        <v>3219</v>
      </c>
      <c r="E57" s="38">
        <v>44854</v>
      </c>
      <c r="F57" s="38">
        <v>45291</v>
      </c>
      <c r="G57" s="39">
        <f t="shared" si="23"/>
        <v>437</v>
      </c>
      <c r="H57" s="40">
        <f t="shared" si="16"/>
        <v>1</v>
      </c>
      <c r="I57" s="56">
        <v>345000</v>
      </c>
      <c r="J57" s="56">
        <v>-716.02</v>
      </c>
      <c r="K57" s="56">
        <v>0</v>
      </c>
      <c r="L57" s="42">
        <f t="shared" si="24"/>
        <v>344283.98</v>
      </c>
      <c r="M57" s="57">
        <v>345000</v>
      </c>
      <c r="N57" s="42">
        <f t="shared" si="25"/>
        <v>-716.02000000001863</v>
      </c>
      <c r="O57" s="45">
        <v>345000</v>
      </c>
      <c r="P57" s="64" t="s">
        <v>494</v>
      </c>
      <c r="Q57" s="35" t="s">
        <v>495</v>
      </c>
      <c r="R57" s="35" t="s">
        <v>21</v>
      </c>
      <c r="S57" s="35" t="s">
        <v>21</v>
      </c>
      <c r="T57" s="75" t="s">
        <v>496</v>
      </c>
      <c r="U57" s="35" t="s">
        <v>26</v>
      </c>
      <c r="V57" s="61">
        <v>344283.98</v>
      </c>
      <c r="W57" s="167"/>
      <c r="X57" s="42">
        <f t="shared" si="17"/>
        <v>344283.98</v>
      </c>
      <c r="Y57" s="62">
        <v>344283.98</v>
      </c>
      <c r="Z57" s="159"/>
      <c r="AA57" s="42">
        <f t="shared" si="18"/>
        <v>344283.98</v>
      </c>
      <c r="AB57" s="43">
        <f t="shared" si="19"/>
        <v>0.99792457971014492</v>
      </c>
      <c r="AC57" s="56">
        <v>-716.02</v>
      </c>
      <c r="AD57" s="42">
        <f t="shared" si="22"/>
        <v>344283.98</v>
      </c>
      <c r="AE57" s="42">
        <f t="shared" si="20"/>
        <v>716.02000000001863</v>
      </c>
      <c r="AF57" s="44">
        <f t="shared" si="15"/>
        <v>0</v>
      </c>
      <c r="AG57" s="45" t="s">
        <v>26</v>
      </c>
      <c r="AH57" s="35"/>
      <c r="AI57" s="35"/>
      <c r="AJ57" s="35" t="s">
        <v>15</v>
      </c>
      <c r="AK57" s="35" t="s">
        <v>25</v>
      </c>
      <c r="AL57" s="35" t="s">
        <v>133</v>
      </c>
      <c r="AN57" s="42">
        <f t="shared" si="21"/>
        <v>0</v>
      </c>
    </row>
    <row r="58" spans="1:42" s="37" customFormat="1" ht="103.5" customHeight="1" x14ac:dyDescent="0.3">
      <c r="A58" s="37">
        <v>406</v>
      </c>
      <c r="B58" s="37" t="s">
        <v>497</v>
      </c>
      <c r="C58" s="35" t="s">
        <v>498</v>
      </c>
      <c r="D58" s="35">
        <v>3220</v>
      </c>
      <c r="E58" s="38">
        <v>44854</v>
      </c>
      <c r="F58" s="38">
        <v>45930</v>
      </c>
      <c r="G58" s="39">
        <f t="shared" si="23"/>
        <v>1076</v>
      </c>
      <c r="H58" s="40">
        <f t="shared" si="16"/>
        <v>1</v>
      </c>
      <c r="I58" s="56">
        <v>500000</v>
      </c>
      <c r="J58" s="56">
        <v>0</v>
      </c>
      <c r="K58" s="56">
        <v>0</v>
      </c>
      <c r="L58" s="42">
        <f t="shared" si="24"/>
        <v>500000</v>
      </c>
      <c r="M58" s="57">
        <v>500000</v>
      </c>
      <c r="N58" s="42">
        <f t="shared" si="25"/>
        <v>0</v>
      </c>
      <c r="O58" s="45">
        <v>500000</v>
      </c>
      <c r="P58" s="64" t="s">
        <v>499</v>
      </c>
      <c r="Q58" s="35" t="s">
        <v>500</v>
      </c>
      <c r="R58" s="35" t="s">
        <v>501</v>
      </c>
      <c r="S58" s="35" t="s">
        <v>502</v>
      </c>
      <c r="T58" s="65" t="s">
        <v>503</v>
      </c>
      <c r="U58" s="35" t="s">
        <v>26</v>
      </c>
      <c r="V58" s="61">
        <v>500000</v>
      </c>
      <c r="W58" s="167"/>
      <c r="X58" s="42">
        <f t="shared" si="17"/>
        <v>500000</v>
      </c>
      <c r="Y58" s="62">
        <v>435080.62999999995</v>
      </c>
      <c r="Z58" s="160">
        <v>64919.37</v>
      </c>
      <c r="AA58" s="42">
        <f t="shared" si="18"/>
        <v>499999.99999999994</v>
      </c>
      <c r="AB58" s="43">
        <f t="shared" si="19"/>
        <v>0.99999999999999989</v>
      </c>
      <c r="AC58" s="56">
        <v>0</v>
      </c>
      <c r="AD58" s="42">
        <f t="shared" si="22"/>
        <v>500000</v>
      </c>
      <c r="AE58" s="42">
        <f t="shared" si="20"/>
        <v>0</v>
      </c>
      <c r="AF58" s="44">
        <f t="shared" si="15"/>
        <v>0</v>
      </c>
      <c r="AG58" s="45" t="s">
        <v>121</v>
      </c>
      <c r="AH58" s="35" t="s">
        <v>504</v>
      </c>
      <c r="AI58" s="78">
        <v>500000</v>
      </c>
      <c r="AJ58" s="35" t="s">
        <v>15</v>
      </c>
      <c r="AK58" s="35" t="s">
        <v>25</v>
      </c>
      <c r="AL58" s="35" t="s">
        <v>133</v>
      </c>
      <c r="AN58" s="42">
        <f t="shared" si="21"/>
        <v>0</v>
      </c>
    </row>
    <row r="59" spans="1:42" s="37" customFormat="1" ht="95.25" customHeight="1" x14ac:dyDescent="0.3">
      <c r="A59" s="37">
        <v>406</v>
      </c>
      <c r="B59" s="37" t="s">
        <v>505</v>
      </c>
      <c r="C59" s="35" t="s">
        <v>506</v>
      </c>
      <c r="D59" s="35">
        <v>3222</v>
      </c>
      <c r="E59" s="38">
        <v>44652</v>
      </c>
      <c r="F59" s="38">
        <v>45016</v>
      </c>
      <c r="G59" s="39">
        <f t="shared" si="23"/>
        <v>364</v>
      </c>
      <c r="H59" s="40">
        <f t="shared" si="16"/>
        <v>1</v>
      </c>
      <c r="I59" s="56">
        <v>201802</v>
      </c>
      <c r="J59" s="56">
        <v>0</v>
      </c>
      <c r="K59" s="56">
        <v>0</v>
      </c>
      <c r="L59" s="42">
        <f t="shared" si="24"/>
        <v>201802</v>
      </c>
      <c r="M59" s="57">
        <v>201802</v>
      </c>
      <c r="N59" s="42">
        <f t="shared" si="25"/>
        <v>0</v>
      </c>
      <c r="O59" s="45">
        <v>201802</v>
      </c>
      <c r="P59" s="58" t="s">
        <v>507</v>
      </c>
      <c r="Q59" s="35" t="s">
        <v>508</v>
      </c>
      <c r="R59" s="35" t="s">
        <v>509</v>
      </c>
      <c r="S59" s="35" t="s">
        <v>510</v>
      </c>
      <c r="T59" s="65" t="s">
        <v>511</v>
      </c>
      <c r="U59" s="35" t="s">
        <v>26</v>
      </c>
      <c r="V59" s="61">
        <v>201802</v>
      </c>
      <c r="W59" s="167"/>
      <c r="X59" s="42">
        <f t="shared" si="17"/>
        <v>201802</v>
      </c>
      <c r="Y59" s="62">
        <v>201802</v>
      </c>
      <c r="Z59" s="159"/>
      <c r="AA59" s="42">
        <f t="shared" si="18"/>
        <v>201802</v>
      </c>
      <c r="AB59" s="43">
        <f t="shared" si="19"/>
        <v>1</v>
      </c>
      <c r="AC59" s="56">
        <v>0</v>
      </c>
      <c r="AD59" s="42">
        <f t="shared" si="22"/>
        <v>201802</v>
      </c>
      <c r="AE59" s="42">
        <f t="shared" si="20"/>
        <v>0</v>
      </c>
      <c r="AF59" s="44">
        <f t="shared" ref="AF59:AF90" si="26">AD59-X59</f>
        <v>0</v>
      </c>
      <c r="AG59" s="45" t="s">
        <v>26</v>
      </c>
      <c r="AH59" s="35" t="s">
        <v>512</v>
      </c>
      <c r="AI59" s="41">
        <v>201802</v>
      </c>
      <c r="AJ59" s="35" t="s">
        <v>15</v>
      </c>
      <c r="AK59" s="35" t="s">
        <v>224</v>
      </c>
      <c r="AL59" s="35" t="s">
        <v>133</v>
      </c>
      <c r="AN59" s="42">
        <f t="shared" si="21"/>
        <v>0</v>
      </c>
      <c r="AP59" s="48"/>
    </row>
    <row r="60" spans="1:42" s="37" customFormat="1" ht="161.25" customHeight="1" x14ac:dyDescent="0.3">
      <c r="A60" s="37">
        <v>406</v>
      </c>
      <c r="B60" s="67" t="s">
        <v>513</v>
      </c>
      <c r="C60" s="35" t="s">
        <v>514</v>
      </c>
      <c r="D60" s="35">
        <v>3222</v>
      </c>
      <c r="E60" s="38">
        <v>44854</v>
      </c>
      <c r="F60" s="38">
        <v>46326</v>
      </c>
      <c r="G60" s="39">
        <f t="shared" si="23"/>
        <v>1472</v>
      </c>
      <c r="H60" s="40">
        <f t="shared" si="16"/>
        <v>0.71127717391304346</v>
      </c>
      <c r="I60" s="79">
        <v>3953689</v>
      </c>
      <c r="J60" s="56">
        <v>0</v>
      </c>
      <c r="K60" s="56">
        <v>0</v>
      </c>
      <c r="L60" s="42">
        <f t="shared" si="24"/>
        <v>3953689</v>
      </c>
      <c r="M60" s="80">
        <v>3953689</v>
      </c>
      <c r="N60" s="42">
        <f t="shared" si="25"/>
        <v>0</v>
      </c>
      <c r="O60" s="45">
        <v>3953689</v>
      </c>
      <c r="P60" s="64" t="s">
        <v>515</v>
      </c>
      <c r="Q60" s="35" t="s">
        <v>516</v>
      </c>
      <c r="R60" s="35" t="s">
        <v>517</v>
      </c>
      <c r="S60" s="35" t="s">
        <v>518</v>
      </c>
      <c r="T60" s="65" t="s">
        <v>519</v>
      </c>
      <c r="U60" s="35" t="s">
        <v>22</v>
      </c>
      <c r="V60" s="61">
        <v>3953689</v>
      </c>
      <c r="W60" s="167"/>
      <c r="X60" s="42">
        <f t="shared" si="17"/>
        <v>3953689</v>
      </c>
      <c r="Y60" s="62">
        <v>1628592.1</v>
      </c>
      <c r="Z60" s="160">
        <v>398067.89</v>
      </c>
      <c r="AA60" s="42">
        <f t="shared" si="18"/>
        <v>2026659.9900000002</v>
      </c>
      <c r="AB60" s="43">
        <f t="shared" si="19"/>
        <v>0.51259974924684271</v>
      </c>
      <c r="AC60" s="56">
        <v>0</v>
      </c>
      <c r="AD60" s="42">
        <f t="shared" si="22"/>
        <v>3953689</v>
      </c>
      <c r="AE60" s="42">
        <f t="shared" si="20"/>
        <v>0</v>
      </c>
      <c r="AF60" s="44">
        <f t="shared" si="26"/>
        <v>0</v>
      </c>
      <c r="AG60" s="45" t="s">
        <v>520</v>
      </c>
      <c r="AH60" s="35" t="s">
        <v>521</v>
      </c>
      <c r="AI60" s="35" t="s">
        <v>522</v>
      </c>
      <c r="AJ60" s="35" t="s">
        <v>15</v>
      </c>
      <c r="AK60" s="35" t="s">
        <v>25</v>
      </c>
      <c r="AL60" s="35" t="s">
        <v>133</v>
      </c>
      <c r="AN60" s="42">
        <f t="shared" si="21"/>
        <v>1927029.0099999998</v>
      </c>
    </row>
    <row r="61" spans="1:42" s="37" customFormat="1" ht="115.2" x14ac:dyDescent="0.3">
      <c r="A61" s="37">
        <v>406</v>
      </c>
      <c r="B61" s="37" t="s">
        <v>523</v>
      </c>
      <c r="C61" s="35" t="s">
        <v>524</v>
      </c>
      <c r="D61" s="35">
        <v>3223</v>
      </c>
      <c r="E61" s="38">
        <v>44743</v>
      </c>
      <c r="F61" s="38">
        <v>46203</v>
      </c>
      <c r="G61" s="39">
        <f t="shared" si="23"/>
        <v>1460</v>
      </c>
      <c r="H61" s="40">
        <f t="shared" si="16"/>
        <v>1</v>
      </c>
      <c r="I61" s="63">
        <v>369823</v>
      </c>
      <c r="J61" s="63">
        <f>182622+404873</f>
        <v>587495</v>
      </c>
      <c r="K61" s="63">
        <v>0</v>
      </c>
      <c r="L61" s="42">
        <f t="shared" si="24"/>
        <v>957318</v>
      </c>
      <c r="M61" s="41">
        <v>552445</v>
      </c>
      <c r="N61" s="42">
        <f t="shared" si="25"/>
        <v>404873</v>
      </c>
      <c r="O61" s="45">
        <v>552445</v>
      </c>
      <c r="P61" s="64" t="s">
        <v>525</v>
      </c>
      <c r="Q61" s="35" t="s">
        <v>526</v>
      </c>
      <c r="R61" s="35" t="s">
        <v>527</v>
      </c>
      <c r="S61" s="35" t="s">
        <v>528</v>
      </c>
      <c r="T61" s="35" t="s">
        <v>529</v>
      </c>
      <c r="U61" s="35" t="s">
        <v>26</v>
      </c>
      <c r="V61" s="81">
        <v>552445</v>
      </c>
      <c r="W61" s="167"/>
      <c r="X61" s="42">
        <f t="shared" si="17"/>
        <v>552445</v>
      </c>
      <c r="Y61" s="45">
        <v>552445</v>
      </c>
      <c r="Z61" s="159"/>
      <c r="AA61" s="42">
        <f t="shared" si="18"/>
        <v>552445</v>
      </c>
      <c r="AB61" s="43">
        <f t="shared" si="19"/>
        <v>1</v>
      </c>
      <c r="AC61" s="55"/>
      <c r="AD61" s="42">
        <f t="shared" si="22"/>
        <v>552445</v>
      </c>
      <c r="AE61" s="42"/>
      <c r="AF61" s="44">
        <f t="shared" si="26"/>
        <v>0</v>
      </c>
      <c r="AG61" s="41" t="s">
        <v>530</v>
      </c>
      <c r="AH61" s="35" t="s">
        <v>21</v>
      </c>
      <c r="AI61" s="35" t="s">
        <v>21</v>
      </c>
      <c r="AJ61" s="35" t="s">
        <v>15</v>
      </c>
      <c r="AK61" s="35" t="s">
        <v>25</v>
      </c>
      <c r="AL61" s="35" t="s">
        <v>149</v>
      </c>
      <c r="AN61" s="42">
        <f t="shared" si="21"/>
        <v>0</v>
      </c>
    </row>
    <row r="62" spans="1:42" s="37" customFormat="1" ht="100.8" x14ac:dyDescent="0.3">
      <c r="A62" s="37">
        <v>406</v>
      </c>
      <c r="B62" s="37" t="s">
        <v>531</v>
      </c>
      <c r="C62" s="35" t="s">
        <v>532</v>
      </c>
      <c r="D62" s="35">
        <v>3223</v>
      </c>
      <c r="E62" s="38">
        <v>44686</v>
      </c>
      <c r="F62" s="38">
        <v>46203</v>
      </c>
      <c r="G62" s="39">
        <f t="shared" si="23"/>
        <v>1517</v>
      </c>
      <c r="H62" s="40">
        <f t="shared" si="16"/>
        <v>0.80092287409360585</v>
      </c>
      <c r="I62" s="56">
        <v>477606</v>
      </c>
      <c r="J62" s="56">
        <v>0</v>
      </c>
      <c r="K62" s="56">
        <v>0</v>
      </c>
      <c r="L62" s="42">
        <f t="shared" si="24"/>
        <v>477606</v>
      </c>
      <c r="M62" s="57">
        <v>477606</v>
      </c>
      <c r="N62" s="42">
        <f t="shared" si="25"/>
        <v>0</v>
      </c>
      <c r="O62" s="45">
        <v>477606</v>
      </c>
      <c r="P62" s="64" t="s">
        <v>533</v>
      </c>
      <c r="Q62" s="35" t="s">
        <v>534</v>
      </c>
      <c r="R62" s="35" t="s">
        <v>535</v>
      </c>
      <c r="S62" s="35" t="s">
        <v>536</v>
      </c>
      <c r="T62" s="35" t="s">
        <v>537</v>
      </c>
      <c r="U62" s="35" t="s">
        <v>22</v>
      </c>
      <c r="V62" s="61">
        <v>477606</v>
      </c>
      <c r="W62" s="167"/>
      <c r="X62" s="42">
        <f t="shared" si="17"/>
        <v>477606</v>
      </c>
      <c r="Y62" s="62">
        <v>426004.2</v>
      </c>
      <c r="Z62" s="160">
        <v>810</v>
      </c>
      <c r="AA62" s="42">
        <f t="shared" si="18"/>
        <v>426814.2</v>
      </c>
      <c r="AB62" s="43">
        <f t="shared" si="19"/>
        <v>0.89365334606349167</v>
      </c>
      <c r="AC62" s="56">
        <v>0</v>
      </c>
      <c r="AD62" s="42">
        <f t="shared" si="22"/>
        <v>477606</v>
      </c>
      <c r="AE62" s="42">
        <f t="shared" ref="AE62:AE93" si="27">M62-AD62</f>
        <v>0</v>
      </c>
      <c r="AF62" s="44">
        <f t="shared" si="26"/>
        <v>0</v>
      </c>
      <c r="AG62" s="41" t="s">
        <v>538</v>
      </c>
      <c r="AH62" s="35" t="s">
        <v>21</v>
      </c>
      <c r="AI62" s="35" t="s">
        <v>21</v>
      </c>
      <c r="AJ62" s="35" t="s">
        <v>15</v>
      </c>
      <c r="AK62" s="35" t="s">
        <v>25</v>
      </c>
      <c r="AL62" s="35" t="s">
        <v>122</v>
      </c>
      <c r="AN62" s="42">
        <f t="shared" si="21"/>
        <v>50791.799999999988</v>
      </c>
    </row>
    <row r="63" spans="1:42" s="37" customFormat="1" ht="259.2" x14ac:dyDescent="0.3">
      <c r="A63" s="37">
        <v>406</v>
      </c>
      <c r="B63" s="37" t="s">
        <v>539</v>
      </c>
      <c r="C63" s="35" t="s">
        <v>540</v>
      </c>
      <c r="D63" s="35">
        <v>3223</v>
      </c>
      <c r="E63" s="38">
        <v>45108</v>
      </c>
      <c r="F63" s="38">
        <v>46203</v>
      </c>
      <c r="G63" s="39">
        <f t="shared" si="23"/>
        <v>1095</v>
      </c>
      <c r="H63" s="40">
        <f t="shared" si="16"/>
        <v>0.72420091324200908</v>
      </c>
      <c r="I63" s="63">
        <v>0</v>
      </c>
      <c r="J63" s="63">
        <v>0</v>
      </c>
      <c r="K63" s="63">
        <v>0</v>
      </c>
      <c r="L63" s="42">
        <f t="shared" si="24"/>
        <v>0</v>
      </c>
      <c r="M63" s="41">
        <v>0</v>
      </c>
      <c r="N63" s="42">
        <f t="shared" si="25"/>
        <v>0</v>
      </c>
      <c r="O63" s="45">
        <v>284159</v>
      </c>
      <c r="P63" s="64" t="s">
        <v>525</v>
      </c>
      <c r="Q63" s="35" t="s">
        <v>526</v>
      </c>
      <c r="R63" s="35" t="s">
        <v>541</v>
      </c>
      <c r="S63" s="35" t="s">
        <v>542</v>
      </c>
      <c r="T63" s="35" t="s">
        <v>543</v>
      </c>
      <c r="U63" s="35" t="s">
        <v>22</v>
      </c>
      <c r="V63" s="81">
        <v>284159</v>
      </c>
      <c r="W63" s="167"/>
      <c r="X63" s="42">
        <f t="shared" si="17"/>
        <v>284159</v>
      </c>
      <c r="Y63" s="45">
        <v>150869.38</v>
      </c>
      <c r="Z63" s="160">
        <v>0</v>
      </c>
      <c r="AA63" s="42">
        <f t="shared" si="18"/>
        <v>150869.38</v>
      </c>
      <c r="AB63" s="43">
        <f t="shared" si="19"/>
        <v>0.53093296358728737</v>
      </c>
      <c r="AC63" s="55">
        <v>0</v>
      </c>
      <c r="AD63" s="42">
        <f t="shared" si="22"/>
        <v>284159</v>
      </c>
      <c r="AE63" s="42">
        <f t="shared" si="27"/>
        <v>-284159</v>
      </c>
      <c r="AF63" s="44">
        <f t="shared" si="26"/>
        <v>0</v>
      </c>
      <c r="AG63" s="41" t="s">
        <v>530</v>
      </c>
      <c r="AH63" s="35" t="s">
        <v>21</v>
      </c>
      <c r="AI63" s="35" t="s">
        <v>21</v>
      </c>
      <c r="AJ63" s="35" t="s">
        <v>15</v>
      </c>
      <c r="AK63" s="35" t="s">
        <v>25</v>
      </c>
      <c r="AL63" s="35" t="s">
        <v>149</v>
      </c>
      <c r="AN63" s="42">
        <f t="shared" si="21"/>
        <v>133289.62</v>
      </c>
    </row>
    <row r="64" spans="1:42" s="37" customFormat="1" ht="259.2" x14ac:dyDescent="0.3">
      <c r="A64" s="37">
        <v>406</v>
      </c>
      <c r="B64" s="37" t="s">
        <v>544</v>
      </c>
      <c r="C64" s="35" t="s">
        <v>545</v>
      </c>
      <c r="D64" s="35">
        <v>3223</v>
      </c>
      <c r="E64" s="38">
        <v>45474</v>
      </c>
      <c r="F64" s="38">
        <v>46203</v>
      </c>
      <c r="G64" s="39">
        <f t="shared" si="23"/>
        <v>729</v>
      </c>
      <c r="H64" s="40">
        <f t="shared" si="16"/>
        <v>1</v>
      </c>
      <c r="I64" s="63">
        <v>0</v>
      </c>
      <c r="J64" s="63">
        <v>0</v>
      </c>
      <c r="K64" s="63">
        <v>0</v>
      </c>
      <c r="L64" s="42">
        <f t="shared" si="24"/>
        <v>0</v>
      </c>
      <c r="M64" s="41">
        <v>0</v>
      </c>
      <c r="N64" s="42">
        <f t="shared" si="25"/>
        <v>0</v>
      </c>
      <c r="O64" s="45">
        <v>268286</v>
      </c>
      <c r="P64" s="64" t="s">
        <v>525</v>
      </c>
      <c r="Q64" s="35" t="s">
        <v>526</v>
      </c>
      <c r="R64" s="35" t="s">
        <v>546</v>
      </c>
      <c r="S64" s="35" t="s">
        <v>542</v>
      </c>
      <c r="T64" s="35" t="s">
        <v>543</v>
      </c>
      <c r="U64" s="35" t="s">
        <v>26</v>
      </c>
      <c r="V64" s="81">
        <v>268286</v>
      </c>
      <c r="W64" s="167"/>
      <c r="X64" s="42">
        <f t="shared" si="17"/>
        <v>268286</v>
      </c>
      <c r="Y64" s="45">
        <v>268286</v>
      </c>
      <c r="Z64" s="160">
        <v>0</v>
      </c>
      <c r="AA64" s="42">
        <f t="shared" si="18"/>
        <v>268286</v>
      </c>
      <c r="AB64" s="43">
        <f t="shared" si="19"/>
        <v>1</v>
      </c>
      <c r="AC64" s="55">
        <v>0</v>
      </c>
      <c r="AD64" s="42">
        <f t="shared" si="22"/>
        <v>268286</v>
      </c>
      <c r="AE64" s="42">
        <f t="shared" si="27"/>
        <v>-268286</v>
      </c>
      <c r="AF64" s="44">
        <f t="shared" si="26"/>
        <v>0</v>
      </c>
      <c r="AG64" s="41" t="s">
        <v>530</v>
      </c>
      <c r="AH64" s="35" t="s">
        <v>21</v>
      </c>
      <c r="AI64" s="35" t="s">
        <v>21</v>
      </c>
      <c r="AJ64" s="35" t="s">
        <v>15</v>
      </c>
      <c r="AK64" s="35" t="s">
        <v>25</v>
      </c>
      <c r="AL64" s="35" t="s">
        <v>149</v>
      </c>
      <c r="AN64" s="42">
        <f t="shared" si="21"/>
        <v>0</v>
      </c>
      <c r="AP64" s="48"/>
    </row>
    <row r="65" spans="1:42" s="37" customFormat="1" ht="259.2" x14ac:dyDescent="0.3">
      <c r="A65" s="37">
        <v>406</v>
      </c>
      <c r="B65" s="37" t="s">
        <v>547</v>
      </c>
      <c r="C65" s="35" t="s">
        <v>548</v>
      </c>
      <c r="D65" s="35">
        <v>3223</v>
      </c>
      <c r="E65" s="38">
        <v>45839</v>
      </c>
      <c r="F65" s="38">
        <v>46203</v>
      </c>
      <c r="G65" s="39">
        <f t="shared" si="23"/>
        <v>364</v>
      </c>
      <c r="H65" s="40">
        <f t="shared" si="16"/>
        <v>0.17032967032967034</v>
      </c>
      <c r="I65" s="63">
        <v>0</v>
      </c>
      <c r="J65" s="63">
        <v>0</v>
      </c>
      <c r="K65" s="63">
        <v>0</v>
      </c>
      <c r="L65" s="42">
        <f t="shared" si="24"/>
        <v>0</v>
      </c>
      <c r="M65" s="41">
        <v>0</v>
      </c>
      <c r="N65" s="42">
        <f t="shared" si="25"/>
        <v>0</v>
      </c>
      <c r="O65" s="45">
        <v>252976</v>
      </c>
      <c r="P65" s="64" t="s">
        <v>525</v>
      </c>
      <c r="Q65" s="35" t="s">
        <v>526</v>
      </c>
      <c r="R65" s="35" t="s">
        <v>549</v>
      </c>
      <c r="S65" s="35" t="s">
        <v>542</v>
      </c>
      <c r="T65" s="35" t="s">
        <v>543</v>
      </c>
      <c r="U65" s="35" t="s">
        <v>17</v>
      </c>
      <c r="V65" s="81">
        <v>657849</v>
      </c>
      <c r="W65" s="167"/>
      <c r="X65" s="42">
        <f t="shared" si="17"/>
        <v>657849</v>
      </c>
      <c r="Y65" s="45">
        <v>0</v>
      </c>
      <c r="Z65" s="160">
        <v>42092.35</v>
      </c>
      <c r="AA65" s="42">
        <f t="shared" si="18"/>
        <v>42092.35</v>
      </c>
      <c r="AB65" s="43">
        <f t="shared" si="19"/>
        <v>0.16638870881032192</v>
      </c>
      <c r="AC65" s="55">
        <v>404873</v>
      </c>
      <c r="AD65" s="42">
        <f t="shared" si="22"/>
        <v>657849</v>
      </c>
      <c r="AE65" s="42">
        <f t="shared" si="27"/>
        <v>-657849</v>
      </c>
      <c r="AF65" s="44">
        <f t="shared" si="26"/>
        <v>0</v>
      </c>
      <c r="AG65" s="41" t="s">
        <v>530</v>
      </c>
      <c r="AH65" s="35" t="s">
        <v>21</v>
      </c>
      <c r="AI65" s="35" t="s">
        <v>21</v>
      </c>
      <c r="AJ65" s="35" t="s">
        <v>15</v>
      </c>
      <c r="AK65" s="35" t="s">
        <v>25</v>
      </c>
      <c r="AL65" s="35" t="s">
        <v>149</v>
      </c>
      <c r="AN65" s="42">
        <f t="shared" si="21"/>
        <v>615756.65</v>
      </c>
    </row>
    <row r="66" spans="1:42" s="37" customFormat="1" ht="57.6" x14ac:dyDescent="0.3">
      <c r="A66" s="37">
        <v>406</v>
      </c>
      <c r="B66" s="37" t="s">
        <v>550</v>
      </c>
      <c r="C66" s="35" t="s">
        <v>551</v>
      </c>
      <c r="D66" s="35">
        <v>3223</v>
      </c>
      <c r="E66" s="38">
        <v>45108</v>
      </c>
      <c r="F66" s="38">
        <v>46203</v>
      </c>
      <c r="G66" s="39">
        <f t="shared" si="23"/>
        <v>1095</v>
      </c>
      <c r="H66" s="40">
        <f t="shared" si="16"/>
        <v>0.72420091324200908</v>
      </c>
      <c r="I66" s="56">
        <v>1730793</v>
      </c>
      <c r="J66" s="56">
        <f>-420086-404873</f>
        <v>-824959</v>
      </c>
      <c r="K66" s="56">
        <v>0</v>
      </c>
      <c r="L66" s="42">
        <f t="shared" si="24"/>
        <v>905834</v>
      </c>
      <c r="M66" s="57">
        <v>1730793</v>
      </c>
      <c r="N66" s="42">
        <f t="shared" si="25"/>
        <v>-824959</v>
      </c>
      <c r="O66" s="45">
        <v>1730793</v>
      </c>
      <c r="P66" s="64" t="s">
        <v>525</v>
      </c>
      <c r="Q66" s="35" t="s">
        <v>552</v>
      </c>
      <c r="R66" s="35" t="s">
        <v>553</v>
      </c>
      <c r="S66" s="35" t="s">
        <v>554</v>
      </c>
      <c r="T66" s="35" t="s">
        <v>555</v>
      </c>
      <c r="U66" s="35" t="s">
        <v>22</v>
      </c>
      <c r="V66" s="61">
        <v>945797</v>
      </c>
      <c r="W66" s="167"/>
      <c r="X66" s="42">
        <f t="shared" si="17"/>
        <v>945797</v>
      </c>
      <c r="Y66" s="61">
        <v>912143.67</v>
      </c>
      <c r="Z66" s="160">
        <v>0</v>
      </c>
      <c r="AA66" s="42">
        <f t="shared" si="18"/>
        <v>912143.67</v>
      </c>
      <c r="AB66" s="43">
        <f t="shared" si="19"/>
        <v>0.52700910507495702</v>
      </c>
      <c r="AC66" s="57">
        <f>-420086+39963-404873</f>
        <v>-784996</v>
      </c>
      <c r="AD66" s="42">
        <f t="shared" si="22"/>
        <v>945797</v>
      </c>
      <c r="AE66" s="42">
        <f t="shared" si="27"/>
        <v>784996</v>
      </c>
      <c r="AF66" s="44">
        <f t="shared" si="26"/>
        <v>0</v>
      </c>
      <c r="AG66" s="45" t="s">
        <v>121</v>
      </c>
      <c r="AH66" s="35" t="s">
        <v>21</v>
      </c>
      <c r="AI66" s="35" t="s">
        <v>21</v>
      </c>
      <c r="AJ66" s="35" t="s">
        <v>15</v>
      </c>
      <c r="AK66" s="35" t="s">
        <v>25</v>
      </c>
      <c r="AL66" s="35" t="s">
        <v>149</v>
      </c>
      <c r="AN66" s="42">
        <f t="shared" si="21"/>
        <v>33653.329999999958</v>
      </c>
    </row>
    <row r="67" spans="1:42" s="37" customFormat="1" ht="72" x14ac:dyDescent="0.3">
      <c r="A67" s="37">
        <v>406</v>
      </c>
      <c r="B67" s="37" t="s">
        <v>556</v>
      </c>
      <c r="C67" s="35" t="s">
        <v>557</v>
      </c>
      <c r="D67" s="35">
        <v>3224</v>
      </c>
      <c r="E67" s="38">
        <v>44927</v>
      </c>
      <c r="F67" s="38">
        <v>46387</v>
      </c>
      <c r="G67" s="39">
        <f t="shared" si="23"/>
        <v>1460</v>
      </c>
      <c r="H67" s="40">
        <f t="shared" ref="H67:H98" si="28">IF(U67="Completed",1,($B$1-E67)/G67)</f>
        <v>0.66712328767123286</v>
      </c>
      <c r="I67" s="56">
        <v>6446148</v>
      </c>
      <c r="J67" s="56">
        <v>0</v>
      </c>
      <c r="K67" s="56">
        <v>0</v>
      </c>
      <c r="L67" s="42">
        <f t="shared" si="24"/>
        <v>6446148</v>
      </c>
      <c r="M67" s="57">
        <v>6446148</v>
      </c>
      <c r="N67" s="42">
        <f t="shared" si="25"/>
        <v>0</v>
      </c>
      <c r="O67" s="45">
        <v>6446148</v>
      </c>
      <c r="P67" s="64" t="s">
        <v>558</v>
      </c>
      <c r="Q67" s="35" t="s">
        <v>559</v>
      </c>
      <c r="R67" s="35" t="s">
        <v>560</v>
      </c>
      <c r="S67" s="35" t="s">
        <v>561</v>
      </c>
      <c r="T67" s="35" t="s">
        <v>562</v>
      </c>
      <c r="U67" s="35" t="s">
        <v>17</v>
      </c>
      <c r="V67" s="61">
        <v>6446148</v>
      </c>
      <c r="W67" s="167"/>
      <c r="X67" s="42">
        <f t="shared" ref="X67:X98" si="29">V67+W67</f>
        <v>6446148</v>
      </c>
      <c r="Y67" s="61">
        <v>2588254.36</v>
      </c>
      <c r="Z67" s="160">
        <v>280242.98</v>
      </c>
      <c r="AA67" s="42">
        <f t="shared" ref="AA67:AA98" si="30">Y67+Z67</f>
        <v>2868497.34</v>
      </c>
      <c r="AB67" s="43">
        <f t="shared" ref="AB67:AB78" si="31">AA67/O67</f>
        <v>0.44499402433825597</v>
      </c>
      <c r="AC67" s="56">
        <v>0</v>
      </c>
      <c r="AD67" s="42">
        <f t="shared" si="22"/>
        <v>6446148</v>
      </c>
      <c r="AE67" s="42">
        <f t="shared" si="27"/>
        <v>0</v>
      </c>
      <c r="AF67" s="44">
        <f t="shared" si="26"/>
        <v>0</v>
      </c>
      <c r="AG67" s="41" t="s">
        <v>563</v>
      </c>
      <c r="AH67" s="35"/>
      <c r="AI67" s="35"/>
      <c r="AJ67" s="35" t="s">
        <v>564</v>
      </c>
      <c r="AK67" s="37" t="s">
        <v>25</v>
      </c>
      <c r="AL67" s="37" t="s">
        <v>133</v>
      </c>
      <c r="AN67" s="42">
        <f t="shared" ref="AN67:AN98" si="32">AD67-AA67</f>
        <v>3577650.66</v>
      </c>
    </row>
    <row r="68" spans="1:42" s="37" customFormat="1" ht="100.8" x14ac:dyDescent="0.3">
      <c r="A68" s="37">
        <v>406</v>
      </c>
      <c r="B68" s="37" t="s">
        <v>565</v>
      </c>
      <c r="C68" s="35" t="s">
        <v>566</v>
      </c>
      <c r="D68" s="35">
        <v>3234</v>
      </c>
      <c r="E68" s="38">
        <v>45091</v>
      </c>
      <c r="F68" s="38">
        <v>46387</v>
      </c>
      <c r="G68" s="39">
        <f t="shared" si="23"/>
        <v>1296</v>
      </c>
      <c r="H68" s="40">
        <f t="shared" si="28"/>
        <v>0.625</v>
      </c>
      <c r="I68" s="56">
        <v>5494300</v>
      </c>
      <c r="J68" s="56">
        <v>0</v>
      </c>
      <c r="K68" s="56">
        <v>0</v>
      </c>
      <c r="L68" s="42">
        <f t="shared" si="24"/>
        <v>5494300</v>
      </c>
      <c r="M68" s="57">
        <v>5494300</v>
      </c>
      <c r="N68" s="42">
        <f t="shared" si="25"/>
        <v>0</v>
      </c>
      <c r="O68" s="45">
        <v>5494300</v>
      </c>
      <c r="P68" s="58" t="s">
        <v>567</v>
      </c>
      <c r="Q68" s="35" t="s">
        <v>568</v>
      </c>
      <c r="R68" s="35" t="s">
        <v>569</v>
      </c>
      <c r="S68" s="35" t="s">
        <v>484</v>
      </c>
      <c r="T68" s="35" t="s">
        <v>570</v>
      </c>
      <c r="U68" s="35" t="s">
        <v>17</v>
      </c>
      <c r="V68" s="61">
        <v>5494300</v>
      </c>
      <c r="W68" s="167"/>
      <c r="X68" s="42">
        <f t="shared" si="29"/>
        <v>5494300</v>
      </c>
      <c r="Y68" s="61">
        <v>985608.00000000012</v>
      </c>
      <c r="Z68" s="160">
        <v>768055.2</v>
      </c>
      <c r="AA68" s="42">
        <f t="shared" si="30"/>
        <v>1753663.2000000002</v>
      </c>
      <c r="AB68" s="43">
        <f t="shared" si="31"/>
        <v>0.31917863968112409</v>
      </c>
      <c r="AC68" s="56">
        <v>0</v>
      </c>
      <c r="AD68" s="42">
        <f t="shared" si="22"/>
        <v>5494300</v>
      </c>
      <c r="AE68" s="42">
        <f t="shared" si="27"/>
        <v>0</v>
      </c>
      <c r="AF68" s="44">
        <f t="shared" si="26"/>
        <v>0</v>
      </c>
      <c r="AG68" s="45" t="s">
        <v>121</v>
      </c>
      <c r="AH68" s="35" t="s">
        <v>21</v>
      </c>
      <c r="AI68" s="35" t="s">
        <v>21</v>
      </c>
      <c r="AJ68" s="35" t="s">
        <v>15</v>
      </c>
      <c r="AK68" s="35" t="s">
        <v>25</v>
      </c>
      <c r="AL68" s="35" t="s">
        <v>149</v>
      </c>
      <c r="AM68" s="73"/>
      <c r="AN68" s="42">
        <f t="shared" si="32"/>
        <v>3740636.8</v>
      </c>
    </row>
    <row r="69" spans="1:42" s="37" customFormat="1" ht="86.4" x14ac:dyDescent="0.3">
      <c r="A69" s="37">
        <v>406</v>
      </c>
      <c r="B69" s="37" t="s">
        <v>571</v>
      </c>
      <c r="C69" s="35" t="s">
        <v>572</v>
      </c>
      <c r="D69" s="35">
        <v>3234</v>
      </c>
      <c r="E69" s="38">
        <v>45092</v>
      </c>
      <c r="F69" s="38">
        <v>46387</v>
      </c>
      <c r="G69" s="39">
        <f t="shared" si="23"/>
        <v>1295</v>
      </c>
      <c r="H69" s="40">
        <f t="shared" si="28"/>
        <v>0.62471042471042471</v>
      </c>
      <c r="I69" s="56">
        <v>666000</v>
      </c>
      <c r="J69" s="56">
        <v>0</v>
      </c>
      <c r="K69" s="56">
        <v>0</v>
      </c>
      <c r="L69" s="42">
        <f t="shared" si="24"/>
        <v>666000</v>
      </c>
      <c r="M69" s="52">
        <v>0</v>
      </c>
      <c r="N69" s="42">
        <f t="shared" si="25"/>
        <v>666000</v>
      </c>
      <c r="O69" s="45">
        <v>666000</v>
      </c>
      <c r="P69" s="58" t="s">
        <v>573</v>
      </c>
      <c r="Q69" s="35" t="s">
        <v>574</v>
      </c>
      <c r="R69" s="82" t="s">
        <v>575</v>
      </c>
      <c r="S69" s="35" t="s">
        <v>484</v>
      </c>
      <c r="T69" s="36" t="s">
        <v>576</v>
      </c>
      <c r="U69" s="35" t="s">
        <v>17</v>
      </c>
      <c r="V69" s="61">
        <v>666000</v>
      </c>
      <c r="W69" s="167"/>
      <c r="X69" s="42">
        <f t="shared" si="29"/>
        <v>666000</v>
      </c>
      <c r="Y69" s="61">
        <v>131074.91</v>
      </c>
      <c r="Z69" s="160">
        <v>31178.54</v>
      </c>
      <c r="AA69" s="42">
        <f t="shared" si="30"/>
        <v>162253.45000000001</v>
      </c>
      <c r="AB69" s="43">
        <f t="shared" si="31"/>
        <v>0.24362379879879881</v>
      </c>
      <c r="AC69" s="56">
        <v>0</v>
      </c>
      <c r="AD69" s="42">
        <f t="shared" si="22"/>
        <v>666000</v>
      </c>
      <c r="AE69" s="42">
        <f t="shared" si="27"/>
        <v>-666000</v>
      </c>
      <c r="AF69" s="44">
        <f t="shared" si="26"/>
        <v>0</v>
      </c>
      <c r="AG69" s="45" t="s">
        <v>121</v>
      </c>
      <c r="AH69" s="35" t="s">
        <v>21</v>
      </c>
      <c r="AI69" s="35" t="s">
        <v>21</v>
      </c>
      <c r="AJ69" s="35" t="s">
        <v>15</v>
      </c>
      <c r="AK69" s="35" t="s">
        <v>25</v>
      </c>
      <c r="AL69" s="35" t="s">
        <v>149</v>
      </c>
      <c r="AN69" s="42">
        <f t="shared" si="32"/>
        <v>503746.55</v>
      </c>
    </row>
    <row r="70" spans="1:42" s="37" customFormat="1" ht="230.4" x14ac:dyDescent="0.3">
      <c r="A70" s="37">
        <v>406</v>
      </c>
      <c r="B70" s="37" t="s">
        <v>577</v>
      </c>
      <c r="C70" s="35" t="s">
        <v>578</v>
      </c>
      <c r="D70" s="35">
        <v>3645</v>
      </c>
      <c r="E70" s="38">
        <v>44733</v>
      </c>
      <c r="F70" s="38">
        <v>44742</v>
      </c>
      <c r="G70" s="39">
        <f t="shared" si="23"/>
        <v>9</v>
      </c>
      <c r="H70" s="40">
        <f t="shared" si="28"/>
        <v>1</v>
      </c>
      <c r="I70" s="56">
        <v>107270</v>
      </c>
      <c r="J70" s="56">
        <v>14295.5</v>
      </c>
      <c r="K70" s="56">
        <v>0</v>
      </c>
      <c r="L70" s="42">
        <f t="shared" si="24"/>
        <v>121565.5</v>
      </c>
      <c r="M70" s="57">
        <v>107270</v>
      </c>
      <c r="N70" s="42">
        <f t="shared" si="25"/>
        <v>14295.5</v>
      </c>
      <c r="O70" s="45">
        <v>107270</v>
      </c>
      <c r="P70" s="64" t="s">
        <v>579</v>
      </c>
      <c r="Q70" s="35" t="s">
        <v>580</v>
      </c>
      <c r="R70" s="35" t="s">
        <v>581</v>
      </c>
      <c r="S70" s="35" t="s">
        <v>21</v>
      </c>
      <c r="T70" s="1" t="s">
        <v>582</v>
      </c>
      <c r="U70" s="35" t="s">
        <v>26</v>
      </c>
      <c r="V70" s="61">
        <v>92974.5</v>
      </c>
      <c r="W70" s="167"/>
      <c r="X70" s="42">
        <f t="shared" si="29"/>
        <v>92974.5</v>
      </c>
      <c r="Y70" s="62">
        <v>92974.5</v>
      </c>
      <c r="Z70" s="159"/>
      <c r="AA70" s="42">
        <f t="shared" si="30"/>
        <v>92974.5</v>
      </c>
      <c r="AB70" s="43">
        <f t="shared" si="31"/>
        <v>0.86673347627482056</v>
      </c>
      <c r="AC70" s="57">
        <v>-14295.5</v>
      </c>
      <c r="AD70" s="42">
        <f t="shared" si="22"/>
        <v>92974.5</v>
      </c>
      <c r="AE70" s="42">
        <f t="shared" si="27"/>
        <v>14295.5</v>
      </c>
      <c r="AF70" s="44">
        <f t="shared" si="26"/>
        <v>0</v>
      </c>
      <c r="AG70" s="45" t="s">
        <v>583</v>
      </c>
      <c r="AH70" s="35" t="s">
        <v>21</v>
      </c>
      <c r="AI70" s="35" t="s">
        <v>21</v>
      </c>
      <c r="AJ70" s="35" t="s">
        <v>15</v>
      </c>
      <c r="AK70" s="35" t="s">
        <v>584</v>
      </c>
      <c r="AL70" s="35" t="s">
        <v>232</v>
      </c>
      <c r="AN70" s="42">
        <f t="shared" si="32"/>
        <v>0</v>
      </c>
    </row>
    <row r="71" spans="1:42" s="37" customFormat="1" ht="243.75" customHeight="1" x14ac:dyDescent="0.3">
      <c r="A71" s="37">
        <v>406</v>
      </c>
      <c r="B71" s="37" t="s">
        <v>585</v>
      </c>
      <c r="C71" s="35" t="s">
        <v>586</v>
      </c>
      <c r="D71" s="35">
        <v>3645</v>
      </c>
      <c r="E71" s="38">
        <v>44791</v>
      </c>
      <c r="F71" s="38">
        <v>46022</v>
      </c>
      <c r="G71" s="39">
        <f t="shared" si="23"/>
        <v>1231</v>
      </c>
      <c r="H71" s="40">
        <f t="shared" si="28"/>
        <v>0.90170593013809908</v>
      </c>
      <c r="I71" s="56">
        <v>1462644</v>
      </c>
      <c r="J71" s="56">
        <v>0</v>
      </c>
      <c r="K71" s="56">
        <v>0</v>
      </c>
      <c r="L71" s="42">
        <f t="shared" si="24"/>
        <v>1462644</v>
      </c>
      <c r="M71" s="57">
        <v>1462644</v>
      </c>
      <c r="N71" s="42">
        <f t="shared" si="25"/>
        <v>0</v>
      </c>
      <c r="O71" s="45">
        <v>1462644</v>
      </c>
      <c r="P71" s="64" t="s">
        <v>587</v>
      </c>
      <c r="Q71" s="35" t="s">
        <v>588</v>
      </c>
      <c r="R71" s="35" t="s">
        <v>589</v>
      </c>
      <c r="S71" s="35" t="s">
        <v>21</v>
      </c>
      <c r="T71" s="65" t="s">
        <v>590</v>
      </c>
      <c r="U71" s="35" t="s">
        <v>22</v>
      </c>
      <c r="V71" s="61">
        <v>1462644</v>
      </c>
      <c r="W71" s="167"/>
      <c r="X71" s="42">
        <f t="shared" si="29"/>
        <v>1462644</v>
      </c>
      <c r="Y71" s="61">
        <v>1009781.7799999999</v>
      </c>
      <c r="Z71" s="160">
        <v>0</v>
      </c>
      <c r="AA71" s="42">
        <f t="shared" si="30"/>
        <v>1009781.7799999999</v>
      </c>
      <c r="AB71" s="43">
        <f t="shared" si="31"/>
        <v>0.69038110435622058</v>
      </c>
      <c r="AC71" s="56">
        <v>0</v>
      </c>
      <c r="AD71" s="42">
        <f t="shared" si="22"/>
        <v>1462644</v>
      </c>
      <c r="AE71" s="42">
        <f t="shared" si="27"/>
        <v>0</v>
      </c>
      <c r="AF71" s="44">
        <f t="shared" si="26"/>
        <v>0</v>
      </c>
      <c r="AG71" s="45" t="s">
        <v>591</v>
      </c>
      <c r="AH71" s="35" t="s">
        <v>21</v>
      </c>
      <c r="AI71" s="35" t="s">
        <v>21</v>
      </c>
      <c r="AJ71" s="35" t="s">
        <v>8</v>
      </c>
      <c r="AK71" s="35" t="s">
        <v>584</v>
      </c>
      <c r="AL71" s="35" t="s">
        <v>122</v>
      </c>
      <c r="AN71" s="42">
        <f t="shared" si="32"/>
        <v>452862.22000000009</v>
      </c>
    </row>
    <row r="72" spans="1:42" s="37" customFormat="1" ht="57.6" x14ac:dyDescent="0.3">
      <c r="A72" s="37">
        <v>406</v>
      </c>
      <c r="B72" s="37" t="s">
        <v>592</v>
      </c>
      <c r="C72" s="35" t="s">
        <v>593</v>
      </c>
      <c r="D72" s="35">
        <v>3645</v>
      </c>
      <c r="E72" s="38">
        <v>45273</v>
      </c>
      <c r="F72" s="38">
        <v>46387</v>
      </c>
      <c r="G72" s="39">
        <f t="shared" si="23"/>
        <v>1114</v>
      </c>
      <c r="H72" s="40">
        <f t="shared" si="28"/>
        <v>0.56373429084380611</v>
      </c>
      <c r="I72" s="56">
        <v>4920000</v>
      </c>
      <c r="J72" s="56">
        <v>-1404094</v>
      </c>
      <c r="K72" s="56">
        <v>0</v>
      </c>
      <c r="L72" s="42">
        <f t="shared" si="24"/>
        <v>3515906</v>
      </c>
      <c r="M72" s="57">
        <v>4920000</v>
      </c>
      <c r="N72" s="42">
        <f t="shared" si="25"/>
        <v>-1404094</v>
      </c>
      <c r="O72" s="45">
        <v>4920000</v>
      </c>
      <c r="P72" s="64" t="s">
        <v>594</v>
      </c>
      <c r="Q72" s="35" t="s">
        <v>595</v>
      </c>
      <c r="R72" s="35" t="s">
        <v>596</v>
      </c>
      <c r="S72" s="35" t="s">
        <v>21</v>
      </c>
      <c r="T72" s="65" t="s">
        <v>597</v>
      </c>
      <c r="U72" s="35" t="s">
        <v>17</v>
      </c>
      <c r="V72" s="61">
        <v>4260000</v>
      </c>
      <c r="W72" s="167"/>
      <c r="X72" s="42">
        <f t="shared" si="29"/>
        <v>4260000</v>
      </c>
      <c r="Y72" s="61">
        <v>1238380.5699999998</v>
      </c>
      <c r="Z72" s="160">
        <v>182475.87</v>
      </c>
      <c r="AA72" s="42">
        <f t="shared" si="30"/>
        <v>1420856.44</v>
      </c>
      <c r="AB72" s="43">
        <f t="shared" si="31"/>
        <v>0.28879195934959351</v>
      </c>
      <c r="AC72" s="57">
        <v>-660000</v>
      </c>
      <c r="AD72" s="42">
        <f t="shared" si="22"/>
        <v>4260000</v>
      </c>
      <c r="AE72" s="42">
        <f t="shared" si="27"/>
        <v>660000</v>
      </c>
      <c r="AF72" s="44">
        <f t="shared" si="26"/>
        <v>0</v>
      </c>
      <c r="AG72" s="45" t="s">
        <v>338</v>
      </c>
      <c r="AH72" s="35" t="s">
        <v>21</v>
      </c>
      <c r="AI72" s="35" t="s">
        <v>21</v>
      </c>
      <c r="AJ72" s="35" t="s">
        <v>15</v>
      </c>
      <c r="AK72" s="35" t="s">
        <v>25</v>
      </c>
      <c r="AL72" s="35" t="s">
        <v>232</v>
      </c>
      <c r="AN72" s="42">
        <f t="shared" si="32"/>
        <v>2839143.56</v>
      </c>
    </row>
    <row r="73" spans="1:42" s="37" customFormat="1" ht="374.4" x14ac:dyDescent="0.3">
      <c r="A73" s="37">
        <v>406</v>
      </c>
      <c r="B73" s="37" t="s">
        <v>598</v>
      </c>
      <c r="C73" s="35" t="s">
        <v>599</v>
      </c>
      <c r="D73" s="35">
        <v>3648</v>
      </c>
      <c r="E73" s="38">
        <v>44854</v>
      </c>
      <c r="F73" s="38">
        <v>45930</v>
      </c>
      <c r="G73" s="39">
        <f t="shared" si="23"/>
        <v>1076</v>
      </c>
      <c r="H73" s="40">
        <f t="shared" si="28"/>
        <v>0.97304832713754652</v>
      </c>
      <c r="I73" s="56">
        <v>572381</v>
      </c>
      <c r="J73" s="56">
        <v>0</v>
      </c>
      <c r="K73" s="56">
        <v>0</v>
      </c>
      <c r="L73" s="42">
        <f t="shared" si="24"/>
        <v>572381</v>
      </c>
      <c r="M73" s="57">
        <v>572381</v>
      </c>
      <c r="N73" s="42">
        <f t="shared" si="25"/>
        <v>0</v>
      </c>
      <c r="O73" s="45">
        <v>572381</v>
      </c>
      <c r="P73" s="64" t="s">
        <v>600</v>
      </c>
      <c r="Q73" s="35" t="s">
        <v>601</v>
      </c>
      <c r="R73" s="35" t="s">
        <v>602</v>
      </c>
      <c r="S73" s="35" t="s">
        <v>603</v>
      </c>
      <c r="T73" s="177" t="s">
        <v>604</v>
      </c>
      <c r="U73" s="35" t="s">
        <v>605</v>
      </c>
      <c r="V73" s="61">
        <v>572381</v>
      </c>
      <c r="W73" s="167"/>
      <c r="X73" s="42">
        <f t="shared" si="29"/>
        <v>572381</v>
      </c>
      <c r="Y73" s="61">
        <v>571406.38</v>
      </c>
      <c r="Z73" s="160">
        <v>290.98</v>
      </c>
      <c r="AA73" s="42">
        <f t="shared" si="30"/>
        <v>571697.36</v>
      </c>
      <c r="AB73" s="43">
        <f t="shared" si="31"/>
        <v>0.99880562073164547</v>
      </c>
      <c r="AC73" s="56">
        <v>0</v>
      </c>
      <c r="AD73" s="42">
        <f t="shared" si="22"/>
        <v>572381</v>
      </c>
      <c r="AE73" s="42">
        <f t="shared" si="27"/>
        <v>0</v>
      </c>
      <c r="AF73" s="44">
        <f t="shared" si="26"/>
        <v>0</v>
      </c>
      <c r="AG73" s="41" t="s">
        <v>606</v>
      </c>
      <c r="AH73" s="35" t="s">
        <v>21</v>
      </c>
      <c r="AI73" s="41">
        <v>0</v>
      </c>
      <c r="AJ73" s="35" t="s">
        <v>15</v>
      </c>
      <c r="AK73" s="35" t="s">
        <v>20</v>
      </c>
      <c r="AL73" s="35" t="s">
        <v>232</v>
      </c>
      <c r="AN73" s="42">
        <f t="shared" si="32"/>
        <v>683.64000000001397</v>
      </c>
    </row>
    <row r="74" spans="1:42" s="37" customFormat="1" ht="115.2" x14ac:dyDescent="0.3">
      <c r="A74" s="37">
        <v>406</v>
      </c>
      <c r="B74" s="37" t="s">
        <v>607</v>
      </c>
      <c r="C74" s="35" t="s">
        <v>608</v>
      </c>
      <c r="D74" s="35" t="s">
        <v>609</v>
      </c>
      <c r="E74" s="38">
        <v>44790</v>
      </c>
      <c r="F74" s="38">
        <v>46387</v>
      </c>
      <c r="G74" s="39">
        <f t="shared" si="23"/>
        <v>1597</v>
      </c>
      <c r="H74" s="40">
        <f t="shared" si="28"/>
        <v>1</v>
      </c>
      <c r="I74" s="41">
        <v>5500000</v>
      </c>
      <c r="J74" s="41">
        <v>0</v>
      </c>
      <c r="K74" s="41">
        <v>0</v>
      </c>
      <c r="L74" s="42">
        <f t="shared" si="24"/>
        <v>5500000</v>
      </c>
      <c r="M74" s="41">
        <v>5500000</v>
      </c>
      <c r="N74" s="42">
        <f t="shared" si="25"/>
        <v>0</v>
      </c>
      <c r="O74" s="83">
        <v>5500000</v>
      </c>
      <c r="P74" s="64" t="s">
        <v>610</v>
      </c>
      <c r="Q74" s="35" t="s">
        <v>611</v>
      </c>
      <c r="R74" s="35" t="s">
        <v>612</v>
      </c>
      <c r="S74" s="35" t="s">
        <v>613</v>
      </c>
      <c r="T74" s="149" t="s">
        <v>529</v>
      </c>
      <c r="U74" s="35" t="s">
        <v>26</v>
      </c>
      <c r="V74" s="66">
        <v>5500000</v>
      </c>
      <c r="W74" s="89"/>
      <c r="X74" s="84">
        <f t="shared" si="29"/>
        <v>5500000</v>
      </c>
      <c r="Y74" s="83">
        <v>5446133.7300000004</v>
      </c>
      <c r="Z74" s="83"/>
      <c r="AA74" s="85">
        <f t="shared" si="30"/>
        <v>5446133.7300000004</v>
      </c>
      <c r="AB74" s="86">
        <f t="shared" si="31"/>
        <v>0.99020613272727276</v>
      </c>
      <c r="AC74" s="87"/>
      <c r="AD74" s="85">
        <f t="shared" si="22"/>
        <v>5500000</v>
      </c>
      <c r="AE74" s="42">
        <f t="shared" si="27"/>
        <v>0</v>
      </c>
      <c r="AF74" s="88">
        <f t="shared" si="26"/>
        <v>0</v>
      </c>
      <c r="AG74" s="45" t="s">
        <v>338</v>
      </c>
      <c r="AH74" s="35" t="s">
        <v>21</v>
      </c>
      <c r="AI74" s="35" t="s">
        <v>21</v>
      </c>
      <c r="AJ74" s="35" t="s">
        <v>15</v>
      </c>
      <c r="AK74" s="35" t="s">
        <v>224</v>
      </c>
      <c r="AL74" s="35" t="s">
        <v>149</v>
      </c>
      <c r="AN74" s="42">
        <f t="shared" si="32"/>
        <v>53866.269999999553</v>
      </c>
    </row>
    <row r="75" spans="1:42" s="37" customFormat="1" ht="115.2" x14ac:dyDescent="0.3">
      <c r="A75" s="37">
        <v>406</v>
      </c>
      <c r="B75" s="37" t="s">
        <v>614</v>
      </c>
      <c r="C75" s="35" t="s">
        <v>615</v>
      </c>
      <c r="D75" s="35" t="s">
        <v>609</v>
      </c>
      <c r="E75" s="38">
        <v>44790</v>
      </c>
      <c r="F75" s="38">
        <v>46387</v>
      </c>
      <c r="G75" s="39">
        <f t="shared" si="23"/>
        <v>1597</v>
      </c>
      <c r="H75" s="40">
        <f t="shared" si="28"/>
        <v>0.69567939887288666</v>
      </c>
      <c r="I75" s="41">
        <v>10000000</v>
      </c>
      <c r="J75" s="41">
        <v>0</v>
      </c>
      <c r="K75" s="41">
        <v>0</v>
      </c>
      <c r="L75" s="42">
        <f t="shared" si="24"/>
        <v>10000000</v>
      </c>
      <c r="M75" s="41">
        <v>10000000</v>
      </c>
      <c r="N75" s="42">
        <f t="shared" si="25"/>
        <v>0</v>
      </c>
      <c r="O75" s="45">
        <v>10000000</v>
      </c>
      <c r="P75" s="64" t="s">
        <v>610</v>
      </c>
      <c r="Q75" s="35" t="s">
        <v>616</v>
      </c>
      <c r="R75" s="35" t="s">
        <v>617</v>
      </c>
      <c r="S75" s="35" t="s">
        <v>613</v>
      </c>
      <c r="T75" s="69" t="s">
        <v>618</v>
      </c>
      <c r="U75" s="35" t="s">
        <v>17</v>
      </c>
      <c r="V75" s="81">
        <v>10000000</v>
      </c>
      <c r="W75" s="167"/>
      <c r="X75" s="42">
        <f t="shared" si="29"/>
        <v>10000000</v>
      </c>
      <c r="Y75" s="45">
        <v>1872802.62</v>
      </c>
      <c r="Z75" s="160">
        <v>882491.93</v>
      </c>
      <c r="AA75" s="42">
        <f t="shared" si="30"/>
        <v>2755294.5500000003</v>
      </c>
      <c r="AB75" s="43">
        <f t="shared" si="31"/>
        <v>0.27552945500000003</v>
      </c>
      <c r="AC75" s="55">
        <v>0</v>
      </c>
      <c r="AD75" s="42">
        <f t="shared" si="22"/>
        <v>10000000</v>
      </c>
      <c r="AE75" s="42">
        <f t="shared" si="27"/>
        <v>0</v>
      </c>
      <c r="AF75" s="44">
        <f t="shared" si="26"/>
        <v>0</v>
      </c>
      <c r="AG75" s="45" t="s">
        <v>338</v>
      </c>
      <c r="AH75" s="35" t="s">
        <v>21</v>
      </c>
      <c r="AI75" s="35" t="s">
        <v>21</v>
      </c>
      <c r="AJ75" s="35" t="s">
        <v>8</v>
      </c>
      <c r="AK75" s="35" t="s">
        <v>584</v>
      </c>
      <c r="AL75" s="35" t="s">
        <v>122</v>
      </c>
      <c r="AN75" s="42">
        <f t="shared" si="32"/>
        <v>7244705.4499999993</v>
      </c>
    </row>
    <row r="76" spans="1:42" s="37" customFormat="1" ht="117" customHeight="1" thickBot="1" x14ac:dyDescent="0.35">
      <c r="A76" s="37">
        <v>406</v>
      </c>
      <c r="B76" s="37" t="s">
        <v>619</v>
      </c>
      <c r="C76" s="35" t="s">
        <v>620</v>
      </c>
      <c r="D76" s="35" t="s">
        <v>609</v>
      </c>
      <c r="E76" s="38">
        <v>44790</v>
      </c>
      <c r="F76" s="38">
        <v>46387</v>
      </c>
      <c r="G76" s="39">
        <f t="shared" si="23"/>
        <v>1597</v>
      </c>
      <c r="H76" s="40">
        <f t="shared" si="28"/>
        <v>0.69567939887288666</v>
      </c>
      <c r="I76" s="41">
        <v>3700000</v>
      </c>
      <c r="J76" s="41">
        <v>0</v>
      </c>
      <c r="K76" s="41">
        <v>0</v>
      </c>
      <c r="L76" s="42">
        <f t="shared" si="24"/>
        <v>3700000</v>
      </c>
      <c r="M76" s="41">
        <v>3700000</v>
      </c>
      <c r="N76" s="42">
        <f t="shared" si="25"/>
        <v>0</v>
      </c>
      <c r="O76" s="45">
        <v>3700000</v>
      </c>
      <c r="P76" s="64" t="s">
        <v>610</v>
      </c>
      <c r="Q76" s="35" t="s">
        <v>621</v>
      </c>
      <c r="R76" s="35" t="s">
        <v>622</v>
      </c>
      <c r="S76" s="35" t="s">
        <v>613</v>
      </c>
      <c r="T76" s="180" t="s">
        <v>623</v>
      </c>
      <c r="U76" s="35" t="s">
        <v>17</v>
      </c>
      <c r="V76" s="81">
        <v>3700000</v>
      </c>
      <c r="W76" s="167"/>
      <c r="X76" s="42">
        <f t="shared" si="29"/>
        <v>3700000</v>
      </c>
      <c r="Y76" s="45">
        <v>664928.80000000005</v>
      </c>
      <c r="Z76" s="160">
        <v>284066.55</v>
      </c>
      <c r="AA76" s="42">
        <f t="shared" si="30"/>
        <v>948995.35000000009</v>
      </c>
      <c r="AB76" s="43">
        <f t="shared" si="31"/>
        <v>0.25648522972972976</v>
      </c>
      <c r="AC76" s="55">
        <v>0</v>
      </c>
      <c r="AD76" s="42">
        <f t="shared" si="22"/>
        <v>3700000</v>
      </c>
      <c r="AE76" s="42">
        <f t="shared" si="27"/>
        <v>0</v>
      </c>
      <c r="AF76" s="44">
        <f t="shared" si="26"/>
        <v>0</v>
      </c>
      <c r="AG76" s="45" t="s">
        <v>338</v>
      </c>
      <c r="AH76" s="35" t="s">
        <v>21</v>
      </c>
      <c r="AI76" s="35" t="s">
        <v>21</v>
      </c>
      <c r="AJ76" s="35" t="s">
        <v>15</v>
      </c>
      <c r="AK76" s="35" t="s">
        <v>20</v>
      </c>
      <c r="AL76" s="35" t="s">
        <v>149</v>
      </c>
      <c r="AN76" s="42">
        <f t="shared" si="32"/>
        <v>2751004.65</v>
      </c>
    </row>
    <row r="77" spans="1:42" s="37" customFormat="1" ht="83.25" customHeight="1" x14ac:dyDescent="0.3">
      <c r="A77" s="37">
        <v>406</v>
      </c>
      <c r="B77" s="37" t="s">
        <v>624</v>
      </c>
      <c r="C77" s="35" t="s">
        <v>625</v>
      </c>
      <c r="D77" s="35" t="s">
        <v>609</v>
      </c>
      <c r="E77" s="38">
        <v>44790</v>
      </c>
      <c r="F77" s="38">
        <v>46387</v>
      </c>
      <c r="G77" s="39">
        <f t="shared" si="23"/>
        <v>1597</v>
      </c>
      <c r="H77" s="40">
        <f t="shared" si="28"/>
        <v>0.69567939887288666</v>
      </c>
      <c r="I77" s="41">
        <v>1600000</v>
      </c>
      <c r="J77" s="41">
        <v>0</v>
      </c>
      <c r="K77" s="41">
        <v>0</v>
      </c>
      <c r="L77" s="42">
        <f t="shared" si="24"/>
        <v>1600000</v>
      </c>
      <c r="M77" s="41">
        <v>1600000</v>
      </c>
      <c r="N77" s="42">
        <f t="shared" si="25"/>
        <v>0</v>
      </c>
      <c r="O77" s="83">
        <v>1600000</v>
      </c>
      <c r="P77" s="64" t="s">
        <v>610</v>
      </c>
      <c r="Q77" s="35" t="s">
        <v>626</v>
      </c>
      <c r="R77" s="35" t="s">
        <v>627</v>
      </c>
      <c r="S77" s="35" t="s">
        <v>613</v>
      </c>
      <c r="T77" s="65" t="s">
        <v>628</v>
      </c>
      <c r="U77" s="35" t="s">
        <v>22</v>
      </c>
      <c r="V77" s="66">
        <v>1600000</v>
      </c>
      <c r="W77" s="167"/>
      <c r="X77" s="84">
        <f t="shared" si="29"/>
        <v>1600000</v>
      </c>
      <c r="Y77" s="83">
        <v>1225129.2</v>
      </c>
      <c r="Z77" s="160">
        <v>5572.64</v>
      </c>
      <c r="AA77" s="85">
        <f t="shared" si="30"/>
        <v>1230701.8399999999</v>
      </c>
      <c r="AB77" s="86">
        <f t="shared" si="31"/>
        <v>0.76918864999999992</v>
      </c>
      <c r="AC77" s="87">
        <v>0</v>
      </c>
      <c r="AD77" s="85">
        <f t="shared" si="22"/>
        <v>1600000</v>
      </c>
      <c r="AE77" s="42">
        <f t="shared" si="27"/>
        <v>0</v>
      </c>
      <c r="AF77" s="88">
        <f t="shared" si="26"/>
        <v>0</v>
      </c>
      <c r="AG77" s="45" t="s">
        <v>338</v>
      </c>
      <c r="AH77" s="35" t="s">
        <v>21</v>
      </c>
      <c r="AI77" s="35" t="s">
        <v>21</v>
      </c>
      <c r="AJ77" s="35" t="s">
        <v>8</v>
      </c>
      <c r="AK77" s="35" t="s">
        <v>20</v>
      </c>
      <c r="AL77" s="35" t="s">
        <v>122</v>
      </c>
      <c r="AN77" s="42">
        <f t="shared" si="32"/>
        <v>369298.16000000015</v>
      </c>
    </row>
    <row r="78" spans="1:42" s="37" customFormat="1" ht="110.25" customHeight="1" x14ac:dyDescent="0.3">
      <c r="A78" s="133">
        <v>407</v>
      </c>
      <c r="B78" s="133" t="s">
        <v>629</v>
      </c>
      <c r="C78" s="116" t="s">
        <v>630</v>
      </c>
      <c r="D78" s="116">
        <v>3228</v>
      </c>
      <c r="E78" s="134">
        <v>44659</v>
      </c>
      <c r="F78" s="134">
        <v>45230</v>
      </c>
      <c r="G78" s="135">
        <f t="shared" si="23"/>
        <v>571</v>
      </c>
      <c r="H78" s="40">
        <f t="shared" si="28"/>
        <v>1</v>
      </c>
      <c r="I78" s="152">
        <v>3960000</v>
      </c>
      <c r="J78" s="152">
        <v>0</v>
      </c>
      <c r="K78" s="152">
        <v>0</v>
      </c>
      <c r="L78" s="136">
        <f t="shared" si="24"/>
        <v>3960000</v>
      </c>
      <c r="M78" s="152">
        <v>3960000</v>
      </c>
      <c r="N78" s="136">
        <f t="shared" si="25"/>
        <v>0</v>
      </c>
      <c r="O78" s="153">
        <v>3960000</v>
      </c>
      <c r="P78" s="144" t="s">
        <v>631</v>
      </c>
      <c r="Q78" s="146" t="s">
        <v>632</v>
      </c>
      <c r="R78" s="116" t="s">
        <v>21</v>
      </c>
      <c r="S78" s="116" t="s">
        <v>21</v>
      </c>
      <c r="T78" s="35" t="s">
        <v>529</v>
      </c>
      <c r="U78" s="116" t="s">
        <v>26</v>
      </c>
      <c r="V78" s="138">
        <v>3960000</v>
      </c>
      <c r="W78" s="154"/>
      <c r="X78" s="139">
        <f t="shared" si="29"/>
        <v>3960000</v>
      </c>
      <c r="Y78" s="138">
        <v>3960000</v>
      </c>
      <c r="Z78" s="138">
        <v>0</v>
      </c>
      <c r="AA78" s="140">
        <f t="shared" si="30"/>
        <v>3960000</v>
      </c>
      <c r="AB78" s="141">
        <f t="shared" si="31"/>
        <v>1</v>
      </c>
      <c r="AC78" s="154">
        <v>0</v>
      </c>
      <c r="AD78" s="140">
        <f t="shared" si="22"/>
        <v>3960000</v>
      </c>
      <c r="AE78" s="136">
        <f t="shared" si="27"/>
        <v>0</v>
      </c>
      <c r="AF78" s="142">
        <f t="shared" si="26"/>
        <v>0</v>
      </c>
      <c r="AG78" s="143" t="s">
        <v>121</v>
      </c>
      <c r="AH78" s="116">
        <v>0</v>
      </c>
      <c r="AI78" s="116">
        <v>0</v>
      </c>
      <c r="AJ78" s="116" t="s">
        <v>15</v>
      </c>
      <c r="AK78" s="116" t="s">
        <v>25</v>
      </c>
      <c r="AL78" s="116" t="s">
        <v>122</v>
      </c>
      <c r="AM78" s="133"/>
      <c r="AN78" s="136">
        <f t="shared" si="32"/>
        <v>0</v>
      </c>
      <c r="AO78" s="133"/>
    </row>
    <row r="79" spans="1:42" s="37" customFormat="1" ht="409.6" x14ac:dyDescent="0.3">
      <c r="A79" s="133">
        <v>407</v>
      </c>
      <c r="B79" s="133" t="s">
        <v>633</v>
      </c>
      <c r="C79" s="116" t="s">
        <v>634</v>
      </c>
      <c r="D79" s="116">
        <v>3228</v>
      </c>
      <c r="E79" s="134">
        <v>44854</v>
      </c>
      <c r="F79" s="134">
        <v>46387</v>
      </c>
      <c r="G79" s="135">
        <f t="shared" si="23"/>
        <v>1533</v>
      </c>
      <c r="H79" s="40">
        <f t="shared" si="28"/>
        <v>0.68297455968688847</v>
      </c>
      <c r="I79" s="152">
        <v>3112296</v>
      </c>
      <c r="J79" s="152">
        <v>9387704</v>
      </c>
      <c r="K79" s="152">
        <v>0</v>
      </c>
      <c r="L79" s="136">
        <f t="shared" si="24"/>
        <v>12500000</v>
      </c>
      <c r="M79" s="152">
        <v>12500000</v>
      </c>
      <c r="N79" s="136">
        <f t="shared" si="25"/>
        <v>0</v>
      </c>
      <c r="O79" s="153">
        <v>12500000</v>
      </c>
      <c r="P79" s="144" t="s">
        <v>635</v>
      </c>
      <c r="Q79" s="178" t="s">
        <v>636</v>
      </c>
      <c r="R79" s="116" t="s">
        <v>21</v>
      </c>
      <c r="S79" s="116" t="s">
        <v>21</v>
      </c>
      <c r="T79" s="116" t="s">
        <v>637</v>
      </c>
      <c r="U79" s="116" t="s">
        <v>638</v>
      </c>
      <c r="V79" s="138">
        <v>12500000</v>
      </c>
      <c r="W79" s="154"/>
      <c r="X79" s="139">
        <f t="shared" si="29"/>
        <v>12500000</v>
      </c>
      <c r="Y79" s="138">
        <v>8010429.7699999996</v>
      </c>
      <c r="Z79" s="138">
        <v>141685.34</v>
      </c>
      <c r="AA79" s="140">
        <f t="shared" si="30"/>
        <v>8152115.1099999994</v>
      </c>
      <c r="AB79" s="141">
        <f>AA79/SUM(O79:O79)</f>
        <v>0.65216920879999996</v>
      </c>
      <c r="AC79" s="154">
        <v>0</v>
      </c>
      <c r="AD79" s="140">
        <f t="shared" ref="AD79:AD110" si="33">O79+AC79</f>
        <v>12500000</v>
      </c>
      <c r="AE79" s="136">
        <f t="shared" si="27"/>
        <v>0</v>
      </c>
      <c r="AF79" s="142">
        <f t="shared" si="26"/>
        <v>0</v>
      </c>
      <c r="AG79" s="143" t="s">
        <v>639</v>
      </c>
      <c r="AH79" s="116">
        <v>0</v>
      </c>
      <c r="AI79" s="116">
        <v>0</v>
      </c>
      <c r="AJ79" s="116" t="s">
        <v>15</v>
      </c>
      <c r="AK79" s="116" t="s">
        <v>25</v>
      </c>
      <c r="AL79" s="116" t="s">
        <v>122</v>
      </c>
      <c r="AM79" s="171" t="s">
        <v>640</v>
      </c>
      <c r="AN79" s="136">
        <f t="shared" si="32"/>
        <v>4347884.8900000006</v>
      </c>
      <c r="AO79" s="133"/>
    </row>
    <row r="80" spans="1:42" s="133" customFormat="1" ht="409.6" x14ac:dyDescent="0.3">
      <c r="A80" s="133">
        <v>407</v>
      </c>
      <c r="B80" s="133" t="s">
        <v>641</v>
      </c>
      <c r="C80" s="116" t="s">
        <v>642</v>
      </c>
      <c r="D80" s="116">
        <v>3228</v>
      </c>
      <c r="E80" s="134">
        <v>44854</v>
      </c>
      <c r="F80" s="134">
        <v>46387</v>
      </c>
      <c r="G80" s="135">
        <f t="shared" si="23"/>
        <v>1533</v>
      </c>
      <c r="H80" s="40">
        <f t="shared" si="28"/>
        <v>0.68297455968688847</v>
      </c>
      <c r="I80" s="152">
        <v>17309680</v>
      </c>
      <c r="J80" s="152">
        <v>31200648</v>
      </c>
      <c r="K80" s="152">
        <v>0</v>
      </c>
      <c r="L80" s="136">
        <f t="shared" si="24"/>
        <v>48510328</v>
      </c>
      <c r="M80" s="152">
        <v>48510328</v>
      </c>
      <c r="N80" s="136">
        <f t="shared" si="25"/>
        <v>0</v>
      </c>
      <c r="O80" s="153">
        <v>48510328</v>
      </c>
      <c r="P80" s="144" t="s">
        <v>643</v>
      </c>
      <c r="Q80" s="178" t="s">
        <v>644</v>
      </c>
      <c r="R80" s="116" t="s">
        <v>21</v>
      </c>
      <c r="S80" s="116" t="s">
        <v>21</v>
      </c>
      <c r="T80" s="116" t="s">
        <v>645</v>
      </c>
      <c r="U80" s="116" t="s">
        <v>646</v>
      </c>
      <c r="V80" s="138">
        <v>48510328</v>
      </c>
      <c r="W80" s="154"/>
      <c r="X80" s="139">
        <f t="shared" si="29"/>
        <v>48510328</v>
      </c>
      <c r="Y80" s="138">
        <v>20163413.870000001</v>
      </c>
      <c r="Z80" s="138">
        <v>3841339.04</v>
      </c>
      <c r="AA80" s="140">
        <f t="shared" si="30"/>
        <v>24004752.91</v>
      </c>
      <c r="AB80" s="141">
        <f>AA80/SUM(O80:O80)</f>
        <v>0.49483798398559581</v>
      </c>
      <c r="AC80" s="154">
        <v>0</v>
      </c>
      <c r="AD80" s="140">
        <f t="shared" si="33"/>
        <v>48510328</v>
      </c>
      <c r="AE80" s="136">
        <f t="shared" si="27"/>
        <v>0</v>
      </c>
      <c r="AF80" s="142">
        <f t="shared" si="26"/>
        <v>0</v>
      </c>
      <c r="AG80" s="143" t="s">
        <v>639</v>
      </c>
      <c r="AH80" s="116">
        <v>0</v>
      </c>
      <c r="AI80" s="116">
        <v>0</v>
      </c>
      <c r="AJ80" s="116" t="s">
        <v>15</v>
      </c>
      <c r="AK80" s="116" t="s">
        <v>25</v>
      </c>
      <c r="AL80" s="116" t="s">
        <v>122</v>
      </c>
      <c r="AM80" s="171" t="s">
        <v>647</v>
      </c>
      <c r="AN80" s="136">
        <f t="shared" si="32"/>
        <v>24505575.09</v>
      </c>
      <c r="AP80" s="37"/>
    </row>
    <row r="81" spans="1:42" s="133" customFormat="1" ht="409.6" x14ac:dyDescent="0.3">
      <c r="A81" s="133">
        <v>407</v>
      </c>
      <c r="B81" s="133" t="s">
        <v>648</v>
      </c>
      <c r="C81" s="116" t="s">
        <v>649</v>
      </c>
      <c r="D81" s="116">
        <v>3233</v>
      </c>
      <c r="E81" s="134">
        <v>44854</v>
      </c>
      <c r="F81" s="134">
        <v>45584</v>
      </c>
      <c r="G81" s="135">
        <f t="shared" si="23"/>
        <v>730</v>
      </c>
      <c r="H81" s="40">
        <f t="shared" si="28"/>
        <v>1</v>
      </c>
      <c r="I81" s="152">
        <v>500000</v>
      </c>
      <c r="J81" s="152">
        <v>0</v>
      </c>
      <c r="K81" s="152">
        <v>0</v>
      </c>
      <c r="L81" s="136">
        <f t="shared" si="24"/>
        <v>500000</v>
      </c>
      <c r="M81" s="152">
        <v>500000</v>
      </c>
      <c r="N81" s="136">
        <f t="shared" si="25"/>
        <v>0</v>
      </c>
      <c r="O81" s="153">
        <v>500000</v>
      </c>
      <c r="P81" s="144" t="s">
        <v>650</v>
      </c>
      <c r="Q81" s="179" t="s">
        <v>651</v>
      </c>
      <c r="R81" s="116" t="s">
        <v>21</v>
      </c>
      <c r="S81" s="116" t="s">
        <v>21</v>
      </c>
      <c r="T81" s="116" t="s">
        <v>652</v>
      </c>
      <c r="U81" s="116" t="s">
        <v>26</v>
      </c>
      <c r="V81" s="138">
        <v>500000</v>
      </c>
      <c r="W81" s="154"/>
      <c r="X81" s="139">
        <f t="shared" si="29"/>
        <v>500000</v>
      </c>
      <c r="Y81" s="138">
        <v>500000</v>
      </c>
      <c r="Z81" s="138">
        <v>0</v>
      </c>
      <c r="AA81" s="140">
        <f t="shared" si="30"/>
        <v>500000</v>
      </c>
      <c r="AB81" s="141">
        <f t="shared" ref="AB81:AB112" si="34">AA81/O81</f>
        <v>1</v>
      </c>
      <c r="AC81" s="154">
        <v>0</v>
      </c>
      <c r="AD81" s="140">
        <f t="shared" si="33"/>
        <v>500000</v>
      </c>
      <c r="AE81" s="136">
        <f t="shared" si="27"/>
        <v>0</v>
      </c>
      <c r="AF81" s="142">
        <f t="shared" si="26"/>
        <v>0</v>
      </c>
      <c r="AG81" s="143" t="s">
        <v>121</v>
      </c>
      <c r="AH81" s="116">
        <v>0</v>
      </c>
      <c r="AI81" s="116">
        <v>0</v>
      </c>
      <c r="AJ81" s="116" t="s">
        <v>15</v>
      </c>
      <c r="AK81" s="116" t="s">
        <v>25</v>
      </c>
      <c r="AL81" s="116" t="s">
        <v>179</v>
      </c>
      <c r="AM81" s="171" t="s">
        <v>653</v>
      </c>
      <c r="AN81" s="136">
        <f t="shared" si="32"/>
        <v>0</v>
      </c>
      <c r="AP81" s="37"/>
    </row>
    <row r="82" spans="1:42" s="133" customFormat="1" ht="144" x14ac:dyDescent="0.3">
      <c r="A82" s="133">
        <v>407</v>
      </c>
      <c r="B82" s="133" t="s">
        <v>654</v>
      </c>
      <c r="C82" s="116" t="s">
        <v>655</v>
      </c>
      <c r="D82" s="116">
        <v>3267</v>
      </c>
      <c r="E82" s="134">
        <v>44658</v>
      </c>
      <c r="F82" s="134">
        <v>45351</v>
      </c>
      <c r="G82" s="135">
        <f t="shared" ref="G82:G113" si="35">F82-E82</f>
        <v>693</v>
      </c>
      <c r="H82" s="40">
        <f t="shared" si="28"/>
        <v>1</v>
      </c>
      <c r="I82" s="152">
        <v>44280</v>
      </c>
      <c r="J82" s="152">
        <v>0</v>
      </c>
      <c r="K82" s="152">
        <v>0</v>
      </c>
      <c r="L82" s="136">
        <f t="shared" ref="L82:L113" si="36">I82+J82+K82</f>
        <v>44280</v>
      </c>
      <c r="M82" s="152">
        <v>44280</v>
      </c>
      <c r="N82" s="136">
        <f t="shared" ref="N82:N113" si="37">L82-M82</f>
        <v>0</v>
      </c>
      <c r="O82" s="153">
        <v>44280</v>
      </c>
      <c r="P82" s="137" t="s">
        <v>610</v>
      </c>
      <c r="Q82" s="145" t="s">
        <v>656</v>
      </c>
      <c r="R82" s="116" t="s">
        <v>657</v>
      </c>
      <c r="S82" s="116" t="s">
        <v>658</v>
      </c>
      <c r="T82" s="116" t="s">
        <v>659</v>
      </c>
      <c r="U82" s="116" t="s">
        <v>26</v>
      </c>
      <c r="V82" s="138">
        <v>44280</v>
      </c>
      <c r="W82" s="154"/>
      <c r="X82" s="139">
        <f t="shared" si="29"/>
        <v>44280</v>
      </c>
      <c r="Y82" s="138">
        <v>44280</v>
      </c>
      <c r="Z82" s="110">
        <v>0</v>
      </c>
      <c r="AA82" s="140">
        <f t="shared" si="30"/>
        <v>44280</v>
      </c>
      <c r="AB82" s="141">
        <f t="shared" si="34"/>
        <v>1</v>
      </c>
      <c r="AC82" s="154">
        <v>0</v>
      </c>
      <c r="AD82" s="140">
        <f t="shared" si="33"/>
        <v>44280</v>
      </c>
      <c r="AE82" s="136">
        <f t="shared" si="27"/>
        <v>0</v>
      </c>
      <c r="AF82" s="142">
        <f t="shared" si="26"/>
        <v>0</v>
      </c>
      <c r="AG82" s="143" t="s">
        <v>121</v>
      </c>
      <c r="AH82" s="116">
        <v>0</v>
      </c>
      <c r="AI82" s="116">
        <v>0</v>
      </c>
      <c r="AJ82" s="116" t="s">
        <v>15</v>
      </c>
      <c r="AK82" s="116" t="s">
        <v>20</v>
      </c>
      <c r="AL82" s="116" t="s">
        <v>660</v>
      </c>
      <c r="AN82" s="136">
        <f t="shared" si="32"/>
        <v>0</v>
      </c>
      <c r="AP82" s="37"/>
    </row>
    <row r="83" spans="1:42" s="133" customFormat="1" ht="177" customHeight="1" x14ac:dyDescent="0.3">
      <c r="A83" s="133">
        <v>407</v>
      </c>
      <c r="B83" s="133" t="s">
        <v>661</v>
      </c>
      <c r="C83" s="116" t="s">
        <v>662</v>
      </c>
      <c r="D83" s="116">
        <v>3267</v>
      </c>
      <c r="E83" s="134">
        <v>44686</v>
      </c>
      <c r="F83" s="134">
        <v>46387</v>
      </c>
      <c r="G83" s="135">
        <f t="shared" si="35"/>
        <v>1701</v>
      </c>
      <c r="H83" s="40">
        <f t="shared" si="28"/>
        <v>0.7142857142857143</v>
      </c>
      <c r="I83" s="152">
        <f>29605675+394325</f>
        <v>30000000</v>
      </c>
      <c r="J83" s="152">
        <v>0</v>
      </c>
      <c r="K83" s="152">
        <v>0</v>
      </c>
      <c r="L83" s="136">
        <f t="shared" si="36"/>
        <v>30000000</v>
      </c>
      <c r="M83" s="152">
        <v>30000000</v>
      </c>
      <c r="N83" s="136">
        <f t="shared" si="37"/>
        <v>0</v>
      </c>
      <c r="O83" s="153">
        <v>30000000</v>
      </c>
      <c r="P83" s="144" t="s">
        <v>663</v>
      </c>
      <c r="Q83" s="145" t="s">
        <v>664</v>
      </c>
      <c r="R83" s="116" t="s">
        <v>665</v>
      </c>
      <c r="S83" s="116" t="s">
        <v>666</v>
      </c>
      <c r="T83" s="116" t="s">
        <v>667</v>
      </c>
      <c r="U83" s="116" t="s">
        <v>646</v>
      </c>
      <c r="V83" s="138">
        <v>30000000</v>
      </c>
      <c r="W83" s="154"/>
      <c r="X83" s="139">
        <f t="shared" si="29"/>
        <v>30000000</v>
      </c>
      <c r="Y83" s="138">
        <v>25142246</v>
      </c>
      <c r="Z83" s="138">
        <v>312049.61</v>
      </c>
      <c r="AA83" s="140">
        <f t="shared" si="30"/>
        <v>25454295.609999999</v>
      </c>
      <c r="AB83" s="141">
        <f t="shared" si="34"/>
        <v>0.84847652033333332</v>
      </c>
      <c r="AC83" s="154">
        <v>0</v>
      </c>
      <c r="AD83" s="140">
        <f t="shared" si="33"/>
        <v>30000000</v>
      </c>
      <c r="AE83" s="136">
        <f t="shared" si="27"/>
        <v>0</v>
      </c>
      <c r="AF83" s="142">
        <f t="shared" si="26"/>
        <v>0</v>
      </c>
      <c r="AG83" s="143" t="s">
        <v>121</v>
      </c>
      <c r="AH83" s="116" t="s">
        <v>668</v>
      </c>
      <c r="AI83" s="116">
        <v>0</v>
      </c>
      <c r="AJ83" s="116" t="s">
        <v>8</v>
      </c>
      <c r="AK83" s="116" t="s">
        <v>25</v>
      </c>
      <c r="AL83" s="116" t="s">
        <v>660</v>
      </c>
      <c r="AM83" s="171" t="s">
        <v>669</v>
      </c>
      <c r="AN83" s="136">
        <f t="shared" si="32"/>
        <v>4545704.3900000006</v>
      </c>
      <c r="AP83" s="37"/>
    </row>
    <row r="84" spans="1:42" s="133" customFormat="1" ht="273.60000000000002" x14ac:dyDescent="0.3">
      <c r="A84" s="133">
        <v>407</v>
      </c>
      <c r="B84" s="133" t="s">
        <v>670</v>
      </c>
      <c r="C84" s="116" t="s">
        <v>671</v>
      </c>
      <c r="D84" s="116">
        <v>3267</v>
      </c>
      <c r="E84" s="134">
        <v>44713</v>
      </c>
      <c r="F84" s="134">
        <v>46387</v>
      </c>
      <c r="G84" s="135">
        <f t="shared" si="35"/>
        <v>1674</v>
      </c>
      <c r="H84" s="40">
        <f t="shared" si="28"/>
        <v>1</v>
      </c>
      <c r="I84" s="152">
        <v>50000000</v>
      </c>
      <c r="J84" s="152">
        <v>0</v>
      </c>
      <c r="K84" s="152">
        <v>0</v>
      </c>
      <c r="L84" s="136">
        <f t="shared" si="36"/>
        <v>50000000</v>
      </c>
      <c r="M84" s="152">
        <v>50000000</v>
      </c>
      <c r="N84" s="136">
        <f t="shared" si="37"/>
        <v>0</v>
      </c>
      <c r="O84" s="153">
        <v>50000000</v>
      </c>
      <c r="P84" s="144" t="s">
        <v>663</v>
      </c>
      <c r="Q84" s="145" t="s">
        <v>672</v>
      </c>
      <c r="R84" s="116" t="s">
        <v>673</v>
      </c>
      <c r="S84" s="116" t="s">
        <v>674</v>
      </c>
      <c r="T84" s="116" t="s">
        <v>675</v>
      </c>
      <c r="U84" s="116" t="s">
        <v>26</v>
      </c>
      <c r="V84" s="138">
        <v>50000000</v>
      </c>
      <c r="W84" s="154"/>
      <c r="X84" s="139">
        <f t="shared" si="29"/>
        <v>50000000</v>
      </c>
      <c r="Y84" s="138">
        <v>50000000</v>
      </c>
      <c r="Z84" s="138">
        <v>0</v>
      </c>
      <c r="AA84" s="140">
        <f t="shared" si="30"/>
        <v>50000000</v>
      </c>
      <c r="AB84" s="141">
        <f t="shared" si="34"/>
        <v>1</v>
      </c>
      <c r="AC84" s="154">
        <v>0</v>
      </c>
      <c r="AD84" s="140">
        <f t="shared" si="33"/>
        <v>50000000</v>
      </c>
      <c r="AE84" s="136">
        <f t="shared" si="27"/>
        <v>0</v>
      </c>
      <c r="AF84" s="142">
        <f t="shared" si="26"/>
        <v>0</v>
      </c>
      <c r="AG84" s="143" t="s">
        <v>121</v>
      </c>
      <c r="AH84" s="116">
        <v>0</v>
      </c>
      <c r="AI84" s="116">
        <v>0</v>
      </c>
      <c r="AJ84" s="116" t="s">
        <v>15</v>
      </c>
      <c r="AK84" s="116" t="s">
        <v>25</v>
      </c>
      <c r="AL84" s="116" t="s">
        <v>660</v>
      </c>
      <c r="AN84" s="136">
        <f t="shared" si="32"/>
        <v>0</v>
      </c>
      <c r="AP84" s="37"/>
    </row>
    <row r="85" spans="1:42" s="133" customFormat="1" ht="100.8" x14ac:dyDescent="0.3">
      <c r="A85" s="37">
        <v>409</v>
      </c>
      <c r="B85" s="165" t="s">
        <v>676</v>
      </c>
      <c r="C85" s="35" t="s">
        <v>677</v>
      </c>
      <c r="D85" s="35">
        <v>1383</v>
      </c>
      <c r="E85" s="38">
        <v>45320</v>
      </c>
      <c r="F85" s="38">
        <v>45838</v>
      </c>
      <c r="G85" s="39">
        <f t="shared" si="35"/>
        <v>518</v>
      </c>
      <c r="H85" s="40">
        <f t="shared" si="28"/>
        <v>1.1216216216216217</v>
      </c>
      <c r="I85" s="41">
        <v>873360</v>
      </c>
      <c r="J85" s="41">
        <v>0</v>
      </c>
      <c r="K85" s="41">
        <v>0</v>
      </c>
      <c r="L85" s="42">
        <f t="shared" si="36"/>
        <v>873360</v>
      </c>
      <c r="M85" s="41">
        <v>873360</v>
      </c>
      <c r="N85" s="42">
        <f t="shared" si="37"/>
        <v>0</v>
      </c>
      <c r="O85" s="83">
        <v>873360</v>
      </c>
      <c r="P85" s="41" t="s">
        <v>678</v>
      </c>
      <c r="Q85" s="35" t="s">
        <v>679</v>
      </c>
      <c r="R85" s="35" t="s">
        <v>679</v>
      </c>
      <c r="S85" s="35" t="s">
        <v>679</v>
      </c>
      <c r="T85" s="149" t="s">
        <v>680</v>
      </c>
      <c r="U85" s="35" t="s">
        <v>22</v>
      </c>
      <c r="V85" s="83">
        <v>873360</v>
      </c>
      <c r="W85" s="89"/>
      <c r="X85" s="84">
        <f t="shared" si="29"/>
        <v>873360</v>
      </c>
      <c r="Y85" s="83">
        <v>634934.85</v>
      </c>
      <c r="Z85" s="83">
        <v>0</v>
      </c>
      <c r="AA85" s="85">
        <f t="shared" si="30"/>
        <v>634934.85</v>
      </c>
      <c r="AB85" s="86">
        <f t="shared" si="34"/>
        <v>0.7270024388568288</v>
      </c>
      <c r="AC85" s="90">
        <v>0</v>
      </c>
      <c r="AD85" s="85">
        <f t="shared" si="33"/>
        <v>873360</v>
      </c>
      <c r="AE85" s="42">
        <f t="shared" si="27"/>
        <v>0</v>
      </c>
      <c r="AF85" s="88">
        <f t="shared" si="26"/>
        <v>0</v>
      </c>
      <c r="AG85" s="45" t="s">
        <v>121</v>
      </c>
      <c r="AH85" s="35" t="s">
        <v>21</v>
      </c>
      <c r="AI85" s="35" t="s">
        <v>21</v>
      </c>
      <c r="AJ85" s="35" t="s">
        <v>8</v>
      </c>
      <c r="AK85" s="37" t="s">
        <v>25</v>
      </c>
      <c r="AL85" s="35" t="s">
        <v>122</v>
      </c>
      <c r="AM85" s="37"/>
      <c r="AN85" s="42">
        <f t="shared" si="32"/>
        <v>238425.15000000002</v>
      </c>
      <c r="AO85" s="37"/>
      <c r="AP85" s="37"/>
    </row>
    <row r="86" spans="1:42" s="133" customFormat="1" ht="86.4" x14ac:dyDescent="0.3">
      <c r="A86" s="37">
        <v>409</v>
      </c>
      <c r="B86" s="164" t="s">
        <v>681</v>
      </c>
      <c r="C86" s="35" t="s">
        <v>682</v>
      </c>
      <c r="D86" s="35">
        <v>3141</v>
      </c>
      <c r="E86" s="38">
        <v>44927</v>
      </c>
      <c r="F86" s="38">
        <v>45657</v>
      </c>
      <c r="G86" s="39">
        <f t="shared" si="35"/>
        <v>730</v>
      </c>
      <c r="H86" s="40">
        <f t="shared" si="28"/>
        <v>1</v>
      </c>
      <c r="I86" s="41">
        <v>344182</v>
      </c>
      <c r="J86" s="41">
        <v>-37462</v>
      </c>
      <c r="K86" s="41"/>
      <c r="L86" s="42">
        <f t="shared" si="36"/>
        <v>306720</v>
      </c>
      <c r="M86" s="41">
        <v>306720</v>
      </c>
      <c r="N86" s="42">
        <f t="shared" si="37"/>
        <v>0</v>
      </c>
      <c r="O86" s="83">
        <v>344182</v>
      </c>
      <c r="P86" s="45" t="s">
        <v>683</v>
      </c>
      <c r="Q86" s="35" t="s">
        <v>684</v>
      </c>
      <c r="R86" s="35" t="s">
        <v>684</v>
      </c>
      <c r="S86" s="35" t="s">
        <v>684</v>
      </c>
      <c r="T86" s="149" t="s">
        <v>685</v>
      </c>
      <c r="U86" s="35" t="s">
        <v>26</v>
      </c>
      <c r="V86" s="83">
        <v>306720</v>
      </c>
      <c r="W86" s="89"/>
      <c r="X86" s="84">
        <f t="shared" si="29"/>
        <v>306720</v>
      </c>
      <c r="Y86" s="83">
        <v>306720</v>
      </c>
      <c r="Z86" s="83"/>
      <c r="AA86" s="85">
        <f t="shared" si="30"/>
        <v>306720</v>
      </c>
      <c r="AB86" s="86">
        <f t="shared" si="34"/>
        <v>0.89115642305524401</v>
      </c>
      <c r="AC86" s="92">
        <v>-37462</v>
      </c>
      <c r="AD86" s="85">
        <f t="shared" si="33"/>
        <v>306720</v>
      </c>
      <c r="AE86" s="42">
        <f t="shared" si="27"/>
        <v>0</v>
      </c>
      <c r="AF86" s="88">
        <f t="shared" si="26"/>
        <v>0</v>
      </c>
      <c r="AG86" s="45" t="s">
        <v>121</v>
      </c>
      <c r="AH86" s="35">
        <v>94</v>
      </c>
      <c r="AI86" s="35" t="s">
        <v>21</v>
      </c>
      <c r="AJ86" s="35" t="s">
        <v>15</v>
      </c>
      <c r="AK86" s="35" t="s">
        <v>584</v>
      </c>
      <c r="AL86" s="35" t="s">
        <v>179</v>
      </c>
      <c r="AM86" s="35" t="s">
        <v>686</v>
      </c>
      <c r="AN86" s="42">
        <f t="shared" si="32"/>
        <v>0</v>
      </c>
      <c r="AO86" s="37"/>
      <c r="AP86" s="48"/>
    </row>
    <row r="87" spans="1:42" s="37" customFormat="1" ht="144" x14ac:dyDescent="0.3">
      <c r="A87" s="37">
        <v>409</v>
      </c>
      <c r="B87" s="164" t="s">
        <v>687</v>
      </c>
      <c r="C87" s="35" t="s">
        <v>688</v>
      </c>
      <c r="D87" s="35">
        <v>3142</v>
      </c>
      <c r="E87" s="38">
        <v>44551</v>
      </c>
      <c r="F87" s="38">
        <v>45473</v>
      </c>
      <c r="G87" s="39">
        <f t="shared" si="35"/>
        <v>922</v>
      </c>
      <c r="H87" s="40">
        <f t="shared" si="28"/>
        <v>1</v>
      </c>
      <c r="I87" s="41">
        <v>1971000</v>
      </c>
      <c r="J87" s="41">
        <v>0</v>
      </c>
      <c r="K87" s="41">
        <v>0</v>
      </c>
      <c r="L87" s="42">
        <f t="shared" si="36"/>
        <v>1971000</v>
      </c>
      <c r="M87" s="41">
        <v>1971000</v>
      </c>
      <c r="N87" s="42">
        <f t="shared" si="37"/>
        <v>0</v>
      </c>
      <c r="O87" s="83">
        <v>1971000</v>
      </c>
      <c r="P87" s="41" t="s">
        <v>689</v>
      </c>
      <c r="Q87" s="35" t="s">
        <v>690</v>
      </c>
      <c r="R87" s="35" t="s">
        <v>690</v>
      </c>
      <c r="S87" s="35" t="s">
        <v>691</v>
      </c>
      <c r="T87" s="149" t="s">
        <v>692</v>
      </c>
      <c r="U87" s="35" t="s">
        <v>26</v>
      </c>
      <c r="V87" s="83">
        <v>1971000</v>
      </c>
      <c r="W87" s="89"/>
      <c r="X87" s="84">
        <f t="shared" si="29"/>
        <v>1971000</v>
      </c>
      <c r="Y87" s="83">
        <v>1971000</v>
      </c>
      <c r="Z87" s="83"/>
      <c r="AA87" s="85">
        <f t="shared" si="30"/>
        <v>1971000</v>
      </c>
      <c r="AB87" s="86">
        <f t="shared" si="34"/>
        <v>1</v>
      </c>
      <c r="AC87" s="90">
        <v>0</v>
      </c>
      <c r="AD87" s="85">
        <f t="shared" si="33"/>
        <v>1971000</v>
      </c>
      <c r="AE87" s="42">
        <f t="shared" si="27"/>
        <v>0</v>
      </c>
      <c r="AF87" s="88">
        <f t="shared" si="26"/>
        <v>0</v>
      </c>
      <c r="AG87" s="45" t="s">
        <v>121</v>
      </c>
      <c r="AH87" s="35">
        <v>65</v>
      </c>
      <c r="AI87" s="35" t="s">
        <v>21</v>
      </c>
      <c r="AJ87" s="35" t="s">
        <v>15</v>
      </c>
      <c r="AK87" s="35" t="s">
        <v>224</v>
      </c>
      <c r="AL87" s="35" t="s">
        <v>232</v>
      </c>
      <c r="AM87" s="37" t="s">
        <v>686</v>
      </c>
      <c r="AN87" s="42">
        <f t="shared" si="32"/>
        <v>0</v>
      </c>
    </row>
    <row r="88" spans="1:42" s="37" customFormat="1" ht="154.5" customHeight="1" x14ac:dyDescent="0.3">
      <c r="A88" s="37">
        <v>409</v>
      </c>
      <c r="B88" s="164" t="s">
        <v>693</v>
      </c>
      <c r="C88" s="35" t="s">
        <v>694</v>
      </c>
      <c r="D88" s="35">
        <v>3142</v>
      </c>
      <c r="E88" s="38">
        <v>44927</v>
      </c>
      <c r="F88" s="38">
        <v>45291</v>
      </c>
      <c r="G88" s="39">
        <f t="shared" si="35"/>
        <v>364</v>
      </c>
      <c r="H88" s="40">
        <f t="shared" si="28"/>
        <v>1</v>
      </c>
      <c r="I88" s="41">
        <v>1275028</v>
      </c>
      <c r="J88" s="41">
        <v>-200228</v>
      </c>
      <c r="K88" s="41">
        <v>0</v>
      </c>
      <c r="L88" s="42">
        <f t="shared" si="36"/>
        <v>1074800</v>
      </c>
      <c r="M88" s="41">
        <v>1074800</v>
      </c>
      <c r="N88" s="42">
        <f t="shared" si="37"/>
        <v>0</v>
      </c>
      <c r="O88" s="83">
        <v>1275028</v>
      </c>
      <c r="P88" s="45" t="s">
        <v>695</v>
      </c>
      <c r="Q88" s="35" t="s">
        <v>684</v>
      </c>
      <c r="R88" s="35" t="s">
        <v>696</v>
      </c>
      <c r="S88" s="35" t="s">
        <v>684</v>
      </c>
      <c r="T88" s="149" t="s">
        <v>685</v>
      </c>
      <c r="U88" s="35" t="s">
        <v>26</v>
      </c>
      <c r="V88" s="83">
        <v>1074800</v>
      </c>
      <c r="W88" s="89"/>
      <c r="X88" s="84">
        <f t="shared" si="29"/>
        <v>1074800</v>
      </c>
      <c r="Y88" s="83">
        <v>1074800</v>
      </c>
      <c r="Z88" s="83"/>
      <c r="AA88" s="85">
        <f t="shared" si="30"/>
        <v>1074800</v>
      </c>
      <c r="AB88" s="86">
        <f t="shared" si="34"/>
        <v>0.84296188005283024</v>
      </c>
      <c r="AC88" s="92">
        <v>-200228</v>
      </c>
      <c r="AD88" s="85">
        <f t="shared" si="33"/>
        <v>1074800</v>
      </c>
      <c r="AE88" s="42">
        <f t="shared" si="27"/>
        <v>0</v>
      </c>
      <c r="AF88" s="88">
        <f t="shared" si="26"/>
        <v>0</v>
      </c>
      <c r="AG88" s="45" t="s">
        <v>121</v>
      </c>
      <c r="AH88" s="35">
        <v>352</v>
      </c>
      <c r="AI88" s="35" t="s">
        <v>21</v>
      </c>
      <c r="AJ88" s="35" t="s">
        <v>15</v>
      </c>
      <c r="AK88" s="35" t="s">
        <v>224</v>
      </c>
      <c r="AL88" s="35" t="s">
        <v>179</v>
      </c>
      <c r="AM88" s="35" t="s">
        <v>686</v>
      </c>
      <c r="AN88" s="42">
        <f t="shared" si="32"/>
        <v>0</v>
      </c>
    </row>
    <row r="89" spans="1:42" s="37" customFormat="1" ht="115.2" x14ac:dyDescent="0.3">
      <c r="A89" s="37">
        <v>409</v>
      </c>
      <c r="B89" s="164" t="s">
        <v>697</v>
      </c>
      <c r="C89" s="35" t="s">
        <v>698</v>
      </c>
      <c r="D89" s="35">
        <v>3143</v>
      </c>
      <c r="E89" s="38">
        <v>44791</v>
      </c>
      <c r="F89" s="38">
        <v>45473</v>
      </c>
      <c r="G89" s="39">
        <f t="shared" si="35"/>
        <v>682</v>
      </c>
      <c r="H89" s="40">
        <f t="shared" si="28"/>
        <v>1</v>
      </c>
      <c r="I89" s="41">
        <v>364000</v>
      </c>
      <c r="J89" s="41">
        <v>-48000</v>
      </c>
      <c r="K89" s="41"/>
      <c r="L89" s="42">
        <f t="shared" si="36"/>
        <v>316000</v>
      </c>
      <c r="M89" s="41">
        <v>316000</v>
      </c>
      <c r="N89" s="42">
        <f t="shared" si="37"/>
        <v>0</v>
      </c>
      <c r="O89" s="83">
        <v>364000</v>
      </c>
      <c r="P89" s="45" t="s">
        <v>699</v>
      </c>
      <c r="Q89" s="35" t="s">
        <v>700</v>
      </c>
      <c r="R89" s="35" t="s">
        <v>701</v>
      </c>
      <c r="S89" s="35" t="s">
        <v>701</v>
      </c>
      <c r="T89" s="149" t="s">
        <v>702</v>
      </c>
      <c r="U89" s="35" t="s">
        <v>26</v>
      </c>
      <c r="V89" s="83">
        <v>316000</v>
      </c>
      <c r="W89" s="89"/>
      <c r="X89" s="84">
        <f t="shared" si="29"/>
        <v>316000</v>
      </c>
      <c r="Y89" s="83">
        <v>316000</v>
      </c>
      <c r="Z89" s="83"/>
      <c r="AA89" s="85">
        <f t="shared" si="30"/>
        <v>316000</v>
      </c>
      <c r="AB89" s="86">
        <f t="shared" si="34"/>
        <v>0.86813186813186816</v>
      </c>
      <c r="AC89" s="92">
        <v>-48000</v>
      </c>
      <c r="AD89" s="85">
        <f t="shared" si="33"/>
        <v>316000</v>
      </c>
      <c r="AE89" s="42">
        <f t="shared" si="27"/>
        <v>0</v>
      </c>
      <c r="AF89" s="88">
        <f t="shared" si="26"/>
        <v>0</v>
      </c>
      <c r="AG89" s="45" t="s">
        <v>121</v>
      </c>
      <c r="AH89" s="35" t="s">
        <v>21</v>
      </c>
      <c r="AI89" s="35" t="s">
        <v>21</v>
      </c>
      <c r="AJ89" s="35" t="s">
        <v>15</v>
      </c>
      <c r="AK89" s="35" t="s">
        <v>25</v>
      </c>
      <c r="AL89" s="35" t="s">
        <v>122</v>
      </c>
      <c r="AM89" s="35" t="s">
        <v>686</v>
      </c>
      <c r="AN89" s="42">
        <f t="shared" si="32"/>
        <v>0</v>
      </c>
    </row>
    <row r="90" spans="1:42" s="37" customFormat="1" ht="409.6" x14ac:dyDescent="0.3">
      <c r="A90" s="37">
        <v>409</v>
      </c>
      <c r="B90" s="164" t="s">
        <v>703</v>
      </c>
      <c r="C90" s="35" t="s">
        <v>704</v>
      </c>
      <c r="D90" s="35">
        <v>3143</v>
      </c>
      <c r="E90" s="38">
        <v>44854</v>
      </c>
      <c r="F90" s="38">
        <v>45838</v>
      </c>
      <c r="G90" s="39">
        <f t="shared" si="35"/>
        <v>984</v>
      </c>
      <c r="H90" s="40">
        <f t="shared" si="28"/>
        <v>1.0640243902439024</v>
      </c>
      <c r="I90" s="41">
        <v>18370000</v>
      </c>
      <c r="J90" s="41">
        <v>0</v>
      </c>
      <c r="K90" s="41">
        <v>0</v>
      </c>
      <c r="L90" s="42">
        <f t="shared" si="36"/>
        <v>18370000</v>
      </c>
      <c r="M90" s="41">
        <v>18370000</v>
      </c>
      <c r="N90" s="42">
        <f t="shared" si="37"/>
        <v>0</v>
      </c>
      <c r="O90" s="83">
        <v>18370000</v>
      </c>
      <c r="P90" s="41" t="s">
        <v>705</v>
      </c>
      <c r="Q90" s="35" t="s">
        <v>706</v>
      </c>
      <c r="R90" s="35" t="s">
        <v>707</v>
      </c>
      <c r="S90" s="35" t="s">
        <v>707</v>
      </c>
      <c r="T90" s="149" t="s">
        <v>708</v>
      </c>
      <c r="U90" s="35" t="s">
        <v>17</v>
      </c>
      <c r="V90" s="161">
        <v>18370000</v>
      </c>
      <c r="W90" s="89"/>
      <c r="X90" s="84">
        <f t="shared" si="29"/>
        <v>18370000</v>
      </c>
      <c r="Y90" s="83">
        <v>1663983.64</v>
      </c>
      <c r="Z90" s="83">
        <v>0</v>
      </c>
      <c r="AA90" s="85">
        <f t="shared" si="30"/>
        <v>1663983.64</v>
      </c>
      <c r="AB90" s="86">
        <f t="shared" si="34"/>
        <v>9.058158083832335E-2</v>
      </c>
      <c r="AC90" s="90">
        <v>0</v>
      </c>
      <c r="AD90" s="85">
        <f t="shared" si="33"/>
        <v>18370000</v>
      </c>
      <c r="AE90" s="42">
        <f t="shared" si="27"/>
        <v>0</v>
      </c>
      <c r="AF90" s="88">
        <f t="shared" si="26"/>
        <v>0</v>
      </c>
      <c r="AG90" s="45" t="s">
        <v>121</v>
      </c>
      <c r="AH90" s="35" t="s">
        <v>21</v>
      </c>
      <c r="AI90" s="35" t="s">
        <v>21</v>
      </c>
      <c r="AJ90" s="35" t="s">
        <v>15</v>
      </c>
      <c r="AK90" s="35" t="s">
        <v>25</v>
      </c>
      <c r="AL90" s="35" t="s">
        <v>122</v>
      </c>
      <c r="AM90" s="35"/>
      <c r="AN90" s="42">
        <f t="shared" si="32"/>
        <v>16706016.359999999</v>
      </c>
    </row>
    <row r="91" spans="1:42" s="37" customFormat="1" ht="115.2" x14ac:dyDescent="0.3">
      <c r="A91" s="37">
        <v>409</v>
      </c>
      <c r="B91" s="164" t="s">
        <v>709</v>
      </c>
      <c r="C91" s="35" t="s">
        <v>710</v>
      </c>
      <c r="D91" s="35">
        <v>3145</v>
      </c>
      <c r="E91" s="38">
        <v>44743</v>
      </c>
      <c r="F91" s="38">
        <v>45473</v>
      </c>
      <c r="G91" s="39">
        <f t="shared" si="35"/>
        <v>730</v>
      </c>
      <c r="H91" s="40">
        <f t="shared" si="28"/>
        <v>1</v>
      </c>
      <c r="I91" s="41">
        <v>100000</v>
      </c>
      <c r="J91" s="41">
        <v>0</v>
      </c>
      <c r="K91" s="41">
        <v>0</v>
      </c>
      <c r="L91" s="42">
        <f t="shared" si="36"/>
        <v>100000</v>
      </c>
      <c r="M91" s="41">
        <v>100000</v>
      </c>
      <c r="N91" s="42">
        <f t="shared" si="37"/>
        <v>0</v>
      </c>
      <c r="O91" s="83">
        <v>100000</v>
      </c>
      <c r="P91" s="45" t="s">
        <v>711</v>
      </c>
      <c r="Q91" s="91" t="s">
        <v>712</v>
      </c>
      <c r="R91" s="35" t="s">
        <v>713</v>
      </c>
      <c r="S91" s="35" t="s">
        <v>713</v>
      </c>
      <c r="T91" s="150" t="s">
        <v>714</v>
      </c>
      <c r="U91" s="35" t="s">
        <v>26</v>
      </c>
      <c r="V91" s="83">
        <v>100000</v>
      </c>
      <c r="W91" s="89"/>
      <c r="X91" s="84">
        <f t="shared" si="29"/>
        <v>100000</v>
      </c>
      <c r="Y91" s="83">
        <v>100000</v>
      </c>
      <c r="Z91" s="83"/>
      <c r="AA91" s="85">
        <f t="shared" si="30"/>
        <v>100000</v>
      </c>
      <c r="AB91" s="86">
        <f t="shared" si="34"/>
        <v>1</v>
      </c>
      <c r="AC91" s="90">
        <v>0</v>
      </c>
      <c r="AD91" s="85">
        <f t="shared" si="33"/>
        <v>100000</v>
      </c>
      <c r="AE91" s="42">
        <f t="shared" si="27"/>
        <v>0</v>
      </c>
      <c r="AF91" s="88">
        <f t="shared" ref="AF91:AF122" si="38">AD91-X91</f>
        <v>0</v>
      </c>
      <c r="AG91" s="45" t="s">
        <v>121</v>
      </c>
      <c r="AH91" s="78">
        <v>1718</v>
      </c>
      <c r="AI91" s="35" t="s">
        <v>21</v>
      </c>
      <c r="AJ91" s="35" t="s">
        <v>15</v>
      </c>
      <c r="AK91" s="35" t="s">
        <v>224</v>
      </c>
      <c r="AL91" s="35" t="s">
        <v>179</v>
      </c>
      <c r="AM91" s="37" t="s">
        <v>686</v>
      </c>
      <c r="AN91" s="42">
        <f t="shared" si="32"/>
        <v>0</v>
      </c>
    </row>
    <row r="92" spans="1:42" s="37" customFormat="1" ht="201.6" x14ac:dyDescent="0.3">
      <c r="A92" s="37">
        <v>409</v>
      </c>
      <c r="B92" s="164" t="s">
        <v>715</v>
      </c>
      <c r="C92" s="35" t="s">
        <v>716</v>
      </c>
      <c r="D92" s="35">
        <v>3145</v>
      </c>
      <c r="E92" s="38">
        <v>44743</v>
      </c>
      <c r="F92" s="38">
        <v>45473</v>
      </c>
      <c r="G92" s="39">
        <f t="shared" si="35"/>
        <v>730</v>
      </c>
      <c r="H92" s="40">
        <f t="shared" si="28"/>
        <v>1</v>
      </c>
      <c r="I92" s="41">
        <v>506428</v>
      </c>
      <c r="J92" s="41">
        <v>0</v>
      </c>
      <c r="K92" s="41">
        <v>0</v>
      </c>
      <c r="L92" s="42">
        <f t="shared" si="36"/>
        <v>506428</v>
      </c>
      <c r="M92" s="41">
        <v>506428</v>
      </c>
      <c r="N92" s="42">
        <f t="shared" si="37"/>
        <v>0</v>
      </c>
      <c r="O92" s="83">
        <v>506428</v>
      </c>
      <c r="P92" s="41" t="s">
        <v>717</v>
      </c>
      <c r="Q92" s="35" t="s">
        <v>718</v>
      </c>
      <c r="R92" s="35" t="s">
        <v>719</v>
      </c>
      <c r="S92" s="35" t="s">
        <v>720</v>
      </c>
      <c r="T92" s="149" t="s">
        <v>721</v>
      </c>
      <c r="U92" s="35" t="s">
        <v>26</v>
      </c>
      <c r="V92" s="83">
        <v>506428</v>
      </c>
      <c r="W92" s="89"/>
      <c r="X92" s="84">
        <f t="shared" si="29"/>
        <v>506428</v>
      </c>
      <c r="Y92" s="83">
        <v>506427.98000000004</v>
      </c>
      <c r="Z92" s="83"/>
      <c r="AA92" s="85">
        <f t="shared" si="30"/>
        <v>506427.98000000004</v>
      </c>
      <c r="AB92" s="86">
        <f t="shared" si="34"/>
        <v>0.99999996050771289</v>
      </c>
      <c r="AC92" s="90">
        <v>0</v>
      </c>
      <c r="AD92" s="85">
        <f t="shared" si="33"/>
        <v>506428</v>
      </c>
      <c r="AE92" s="42">
        <f t="shared" si="27"/>
        <v>0</v>
      </c>
      <c r="AF92" s="88">
        <f t="shared" si="38"/>
        <v>0</v>
      </c>
      <c r="AG92" s="45" t="s">
        <v>121</v>
      </c>
      <c r="AH92" s="78">
        <v>1138</v>
      </c>
      <c r="AI92" s="35" t="s">
        <v>21</v>
      </c>
      <c r="AJ92" s="35" t="s">
        <v>15</v>
      </c>
      <c r="AK92" s="35" t="s">
        <v>224</v>
      </c>
      <c r="AL92" s="35" t="s">
        <v>179</v>
      </c>
      <c r="AM92" s="94" t="s">
        <v>686</v>
      </c>
      <c r="AN92" s="42">
        <f t="shared" si="32"/>
        <v>1.9999999960418791E-2</v>
      </c>
    </row>
    <row r="93" spans="1:42" s="37" customFormat="1" ht="86.4" x14ac:dyDescent="0.3">
      <c r="A93" s="37">
        <v>409</v>
      </c>
      <c r="B93" s="164" t="s">
        <v>722</v>
      </c>
      <c r="C93" s="35" t="s">
        <v>723</v>
      </c>
      <c r="D93" s="35">
        <v>3145</v>
      </c>
      <c r="E93" s="38">
        <v>44743</v>
      </c>
      <c r="F93" s="38">
        <v>45838</v>
      </c>
      <c r="G93" s="39">
        <f t="shared" si="35"/>
        <v>1095</v>
      </c>
      <c r="H93" s="40">
        <f t="shared" si="28"/>
        <v>1</v>
      </c>
      <c r="I93" s="41">
        <v>1000000</v>
      </c>
      <c r="J93" s="41">
        <v>0</v>
      </c>
      <c r="K93" s="41">
        <v>0</v>
      </c>
      <c r="L93" s="42">
        <f t="shared" si="36"/>
        <v>1000000</v>
      </c>
      <c r="M93" s="41">
        <v>1000000</v>
      </c>
      <c r="N93" s="42">
        <f t="shared" si="37"/>
        <v>0</v>
      </c>
      <c r="O93" s="83">
        <v>1000000</v>
      </c>
      <c r="P93" s="41" t="s">
        <v>724</v>
      </c>
      <c r="Q93" s="35" t="s">
        <v>725</v>
      </c>
      <c r="R93" s="35" t="s">
        <v>726</v>
      </c>
      <c r="S93" s="35" t="s">
        <v>727</v>
      </c>
      <c r="T93" s="149" t="s">
        <v>728</v>
      </c>
      <c r="U93" s="35" t="s">
        <v>26</v>
      </c>
      <c r="V93" s="83">
        <v>1000000</v>
      </c>
      <c r="W93" s="89"/>
      <c r="X93" s="84">
        <f t="shared" si="29"/>
        <v>1000000</v>
      </c>
      <c r="Y93" s="83">
        <v>891490.54</v>
      </c>
      <c r="Z93" s="83"/>
      <c r="AA93" s="85">
        <f t="shared" si="30"/>
        <v>891490.54</v>
      </c>
      <c r="AB93" s="86">
        <f t="shared" si="34"/>
        <v>0.89149054000000005</v>
      </c>
      <c r="AC93" s="90">
        <v>0</v>
      </c>
      <c r="AD93" s="85">
        <f t="shared" si="33"/>
        <v>1000000</v>
      </c>
      <c r="AE93" s="42">
        <f t="shared" si="27"/>
        <v>0</v>
      </c>
      <c r="AF93" s="88">
        <f t="shared" si="38"/>
        <v>0</v>
      </c>
      <c r="AG93" s="45" t="s">
        <v>121</v>
      </c>
      <c r="AH93" s="78">
        <v>57579</v>
      </c>
      <c r="AI93" s="35" t="s">
        <v>21</v>
      </c>
      <c r="AJ93" s="35" t="s">
        <v>15</v>
      </c>
      <c r="AK93" s="35" t="s">
        <v>25</v>
      </c>
      <c r="AL93" s="35" t="s">
        <v>232</v>
      </c>
      <c r="AM93" s="94" t="s">
        <v>686</v>
      </c>
      <c r="AN93" s="42">
        <f t="shared" si="32"/>
        <v>108509.45999999996</v>
      </c>
      <c r="AP93" s="133"/>
    </row>
    <row r="94" spans="1:42" s="37" customFormat="1" ht="86.4" x14ac:dyDescent="0.3">
      <c r="A94" s="37">
        <v>409</v>
      </c>
      <c r="B94" s="164" t="s">
        <v>729</v>
      </c>
      <c r="C94" s="35" t="s">
        <v>730</v>
      </c>
      <c r="D94" s="35">
        <v>3145</v>
      </c>
      <c r="E94" s="38">
        <v>44602</v>
      </c>
      <c r="F94" s="38">
        <v>45657</v>
      </c>
      <c r="G94" s="39">
        <f t="shared" si="35"/>
        <v>1055</v>
      </c>
      <c r="H94" s="40">
        <f t="shared" si="28"/>
        <v>1</v>
      </c>
      <c r="I94" s="41">
        <v>5750000</v>
      </c>
      <c r="J94" s="41">
        <v>0</v>
      </c>
      <c r="K94" s="41">
        <v>0</v>
      </c>
      <c r="L94" s="42">
        <f t="shared" si="36"/>
        <v>5750000</v>
      </c>
      <c r="M94" s="41">
        <v>5750000</v>
      </c>
      <c r="N94" s="42">
        <f t="shared" si="37"/>
        <v>0</v>
      </c>
      <c r="O94" s="83">
        <v>5750000</v>
      </c>
      <c r="P94" s="41" t="s">
        <v>731</v>
      </c>
      <c r="Q94" s="35" t="s">
        <v>732</v>
      </c>
      <c r="R94" s="35" t="s">
        <v>733</v>
      </c>
      <c r="S94" s="35" t="s">
        <v>734</v>
      </c>
      <c r="T94" s="149" t="s">
        <v>735</v>
      </c>
      <c r="U94" s="35" t="s">
        <v>26</v>
      </c>
      <c r="V94" s="83">
        <v>5750000</v>
      </c>
      <c r="W94" s="89"/>
      <c r="X94" s="84">
        <f t="shared" si="29"/>
        <v>5750000</v>
      </c>
      <c r="Y94" s="83">
        <v>5745023.0499999989</v>
      </c>
      <c r="Z94" s="83"/>
      <c r="AA94" s="85">
        <f t="shared" si="30"/>
        <v>5745023.0499999989</v>
      </c>
      <c r="AB94" s="86">
        <f t="shared" si="34"/>
        <v>0.99913444347826064</v>
      </c>
      <c r="AC94" s="90">
        <v>0</v>
      </c>
      <c r="AD94" s="85">
        <f t="shared" si="33"/>
        <v>5750000</v>
      </c>
      <c r="AE94" s="42">
        <f t="shared" ref="AE94:AE125" si="39">M94-AD94</f>
        <v>0</v>
      </c>
      <c r="AF94" s="88">
        <f t="shared" si="38"/>
        <v>0</v>
      </c>
      <c r="AG94" s="45" t="s">
        <v>121</v>
      </c>
      <c r="AH94" s="78">
        <v>12680</v>
      </c>
      <c r="AI94" s="35" t="s">
        <v>21</v>
      </c>
      <c r="AJ94" s="35" t="s">
        <v>15</v>
      </c>
      <c r="AK94" s="35" t="s">
        <v>25</v>
      </c>
      <c r="AL94" s="35" t="s">
        <v>179</v>
      </c>
      <c r="AM94" s="94" t="s">
        <v>686</v>
      </c>
      <c r="AN94" s="42">
        <f t="shared" si="32"/>
        <v>4976.9500000011176</v>
      </c>
      <c r="AP94" s="48"/>
    </row>
    <row r="95" spans="1:42" s="37" customFormat="1" ht="100.8" x14ac:dyDescent="0.3">
      <c r="A95" s="37">
        <v>409</v>
      </c>
      <c r="B95" s="164" t="s">
        <v>736</v>
      </c>
      <c r="C95" s="35" t="s">
        <v>737</v>
      </c>
      <c r="D95" s="35">
        <v>3145</v>
      </c>
      <c r="E95" s="38">
        <v>44769</v>
      </c>
      <c r="F95" s="38">
        <v>45930</v>
      </c>
      <c r="G95" s="39">
        <f t="shared" si="35"/>
        <v>1161</v>
      </c>
      <c r="H95" s="40">
        <f t="shared" si="28"/>
        <v>0.9750215331610681</v>
      </c>
      <c r="I95" s="41">
        <v>250144</v>
      </c>
      <c r="J95" s="41">
        <v>0</v>
      </c>
      <c r="K95" s="41"/>
      <c r="L95" s="42">
        <f t="shared" si="36"/>
        <v>250144</v>
      </c>
      <c r="M95" s="41">
        <v>250144</v>
      </c>
      <c r="N95" s="42">
        <f t="shared" si="37"/>
        <v>0</v>
      </c>
      <c r="O95" s="83">
        <v>250144</v>
      </c>
      <c r="P95" s="41" t="s">
        <v>738</v>
      </c>
      <c r="Q95" s="35" t="s">
        <v>739</v>
      </c>
      <c r="R95" s="35" t="s">
        <v>740</v>
      </c>
      <c r="S95" s="35" t="s">
        <v>741</v>
      </c>
      <c r="T95" s="149" t="s">
        <v>742</v>
      </c>
      <c r="U95" s="35" t="s">
        <v>22</v>
      </c>
      <c r="V95" s="83">
        <v>250144</v>
      </c>
      <c r="W95" s="89"/>
      <c r="X95" s="84">
        <f t="shared" si="29"/>
        <v>250144</v>
      </c>
      <c r="Y95" s="83">
        <v>198013.54</v>
      </c>
      <c r="Z95" s="83">
        <v>0</v>
      </c>
      <c r="AA95" s="85">
        <f t="shared" si="30"/>
        <v>198013.54</v>
      </c>
      <c r="AB95" s="86">
        <f t="shared" si="34"/>
        <v>0.79159819943712428</v>
      </c>
      <c r="AC95" s="90">
        <v>0</v>
      </c>
      <c r="AD95" s="85">
        <f t="shared" si="33"/>
        <v>250144</v>
      </c>
      <c r="AE95" s="42">
        <f t="shared" si="39"/>
        <v>0</v>
      </c>
      <c r="AF95" s="88">
        <f t="shared" si="38"/>
        <v>0</v>
      </c>
      <c r="AG95" s="45" t="s">
        <v>121</v>
      </c>
      <c r="AH95" s="78">
        <v>7935</v>
      </c>
      <c r="AI95" s="35" t="s">
        <v>21</v>
      </c>
      <c r="AJ95" s="35" t="s">
        <v>15</v>
      </c>
      <c r="AK95" s="35" t="s">
        <v>20</v>
      </c>
      <c r="AL95" s="35" t="s">
        <v>232</v>
      </c>
      <c r="AM95" s="95" t="s">
        <v>686</v>
      </c>
      <c r="AN95" s="42">
        <f t="shared" si="32"/>
        <v>52130.459999999992</v>
      </c>
    </row>
    <row r="96" spans="1:42" s="37" customFormat="1" ht="216" x14ac:dyDescent="0.3">
      <c r="A96" s="37">
        <v>409</v>
      </c>
      <c r="B96" s="164" t="s">
        <v>743</v>
      </c>
      <c r="C96" s="35" t="s">
        <v>744</v>
      </c>
      <c r="D96" s="35">
        <v>3145</v>
      </c>
      <c r="E96" s="38">
        <v>44854</v>
      </c>
      <c r="F96" s="38">
        <v>45657</v>
      </c>
      <c r="G96" s="39">
        <f t="shared" si="35"/>
        <v>803</v>
      </c>
      <c r="H96" s="40">
        <f t="shared" si="28"/>
        <v>1</v>
      </c>
      <c r="I96" s="41">
        <v>2600000</v>
      </c>
      <c r="J96" s="41">
        <v>0</v>
      </c>
      <c r="K96" s="41">
        <v>0</v>
      </c>
      <c r="L96" s="42">
        <f t="shared" si="36"/>
        <v>2600000</v>
      </c>
      <c r="M96" s="41">
        <v>2600000</v>
      </c>
      <c r="N96" s="42">
        <f t="shared" si="37"/>
        <v>0</v>
      </c>
      <c r="O96" s="83">
        <v>2600000</v>
      </c>
      <c r="P96" s="41" t="s">
        <v>745</v>
      </c>
      <c r="Q96" s="35" t="s">
        <v>746</v>
      </c>
      <c r="R96" s="35" t="s">
        <v>747</v>
      </c>
      <c r="S96" s="35" t="s">
        <v>748</v>
      </c>
      <c r="T96" s="149" t="s">
        <v>749</v>
      </c>
      <c r="U96" s="35" t="s">
        <v>26</v>
      </c>
      <c r="V96" s="83">
        <v>2600000</v>
      </c>
      <c r="W96" s="89"/>
      <c r="X96" s="84">
        <f t="shared" si="29"/>
        <v>2600000</v>
      </c>
      <c r="Y96" s="83">
        <v>2588631.69</v>
      </c>
      <c r="Z96" s="83"/>
      <c r="AA96" s="85">
        <f t="shared" si="30"/>
        <v>2588631.69</v>
      </c>
      <c r="AB96" s="86">
        <f t="shared" si="34"/>
        <v>0.99562757307692307</v>
      </c>
      <c r="AC96" s="90">
        <v>0</v>
      </c>
      <c r="AD96" s="85">
        <f t="shared" si="33"/>
        <v>2600000</v>
      </c>
      <c r="AE96" s="42">
        <f t="shared" si="39"/>
        <v>0</v>
      </c>
      <c r="AF96" s="88">
        <f t="shared" si="38"/>
        <v>0</v>
      </c>
      <c r="AG96" s="45" t="s">
        <v>121</v>
      </c>
      <c r="AH96" s="78">
        <v>5012</v>
      </c>
      <c r="AI96" s="35" t="s">
        <v>21</v>
      </c>
      <c r="AJ96" s="35" t="s">
        <v>15</v>
      </c>
      <c r="AK96" s="35" t="s">
        <v>25</v>
      </c>
      <c r="AL96" s="35" t="s">
        <v>232</v>
      </c>
      <c r="AM96" s="95" t="s">
        <v>686</v>
      </c>
      <c r="AN96" s="42">
        <f t="shared" si="32"/>
        <v>11368.310000000056</v>
      </c>
    </row>
    <row r="97" spans="1:42" s="37" customFormat="1" ht="100.8" x14ac:dyDescent="0.3">
      <c r="A97" s="37">
        <v>409</v>
      </c>
      <c r="B97" s="164" t="s">
        <v>750</v>
      </c>
      <c r="C97" s="35" t="s">
        <v>751</v>
      </c>
      <c r="D97" s="35">
        <v>3145</v>
      </c>
      <c r="E97" s="38">
        <v>44854</v>
      </c>
      <c r="F97" s="38">
        <v>45838</v>
      </c>
      <c r="G97" s="39">
        <f t="shared" si="35"/>
        <v>984</v>
      </c>
      <c r="H97" s="40">
        <f t="shared" si="28"/>
        <v>1</v>
      </c>
      <c r="I97" s="41">
        <v>409400</v>
      </c>
      <c r="J97" s="41">
        <v>-11463</v>
      </c>
      <c r="K97" s="41">
        <v>0</v>
      </c>
      <c r="L97" s="42">
        <f t="shared" si="36"/>
        <v>397937</v>
      </c>
      <c r="M97" s="41">
        <v>397937</v>
      </c>
      <c r="N97" s="42">
        <f t="shared" si="37"/>
        <v>0</v>
      </c>
      <c r="O97" s="83">
        <v>409400</v>
      </c>
      <c r="P97" s="41" t="s">
        <v>752</v>
      </c>
      <c r="Q97" s="35" t="s">
        <v>753</v>
      </c>
      <c r="R97" s="35" t="s">
        <v>754</v>
      </c>
      <c r="S97" s="35" t="s">
        <v>755</v>
      </c>
      <c r="T97" s="149" t="s">
        <v>756</v>
      </c>
      <c r="U97" s="35" t="s">
        <v>26</v>
      </c>
      <c r="V97" s="83">
        <v>397937</v>
      </c>
      <c r="W97" s="89"/>
      <c r="X97" s="84">
        <f t="shared" si="29"/>
        <v>397937</v>
      </c>
      <c r="Y97" s="83">
        <v>327491.05</v>
      </c>
      <c r="Z97" s="83"/>
      <c r="AA97" s="85">
        <f t="shared" si="30"/>
        <v>327491.05</v>
      </c>
      <c r="AB97" s="86">
        <f t="shared" si="34"/>
        <v>0.79992928676111374</v>
      </c>
      <c r="AC97" s="90">
        <v>-11463</v>
      </c>
      <c r="AD97" s="85">
        <f t="shared" si="33"/>
        <v>397937</v>
      </c>
      <c r="AE97" s="42">
        <f t="shared" si="39"/>
        <v>0</v>
      </c>
      <c r="AF97" s="88">
        <f t="shared" si="38"/>
        <v>0</v>
      </c>
      <c r="AG97" s="45" t="s">
        <v>121</v>
      </c>
      <c r="AH97" s="35" t="s">
        <v>21</v>
      </c>
      <c r="AI97" s="35" t="s">
        <v>21</v>
      </c>
      <c r="AJ97" s="35" t="s">
        <v>15</v>
      </c>
      <c r="AK97" s="35" t="s">
        <v>25</v>
      </c>
      <c r="AL97" s="35" t="s">
        <v>149</v>
      </c>
      <c r="AM97" s="95" t="s">
        <v>686</v>
      </c>
      <c r="AN97" s="42">
        <f t="shared" si="32"/>
        <v>70445.950000000012</v>
      </c>
    </row>
    <row r="98" spans="1:42" s="37" customFormat="1" ht="115.2" x14ac:dyDescent="0.3">
      <c r="A98" s="37">
        <v>409</v>
      </c>
      <c r="B98" s="164" t="s">
        <v>757</v>
      </c>
      <c r="C98" s="35" t="s">
        <v>758</v>
      </c>
      <c r="D98" s="35">
        <v>3145</v>
      </c>
      <c r="E98" s="38">
        <v>44791</v>
      </c>
      <c r="F98" s="38">
        <v>46203</v>
      </c>
      <c r="G98" s="39">
        <f t="shared" si="35"/>
        <v>1412</v>
      </c>
      <c r="H98" s="40">
        <f t="shared" si="28"/>
        <v>0.78611898016997173</v>
      </c>
      <c r="I98" s="41">
        <v>4198804</v>
      </c>
      <c r="J98" s="41">
        <v>0</v>
      </c>
      <c r="K98" s="41">
        <v>0</v>
      </c>
      <c r="L98" s="42">
        <f t="shared" si="36"/>
        <v>4198804</v>
      </c>
      <c r="M98" s="41">
        <v>4198804</v>
      </c>
      <c r="N98" s="42">
        <f t="shared" si="37"/>
        <v>0</v>
      </c>
      <c r="O98" s="83">
        <v>4198804</v>
      </c>
      <c r="P98" s="41" t="s">
        <v>759</v>
      </c>
      <c r="Q98" s="35" t="s">
        <v>760</v>
      </c>
      <c r="R98" s="35" t="s">
        <v>761</v>
      </c>
      <c r="S98" s="35" t="s">
        <v>761</v>
      </c>
      <c r="T98" s="149" t="s">
        <v>762</v>
      </c>
      <c r="U98" s="35" t="s">
        <v>17</v>
      </c>
      <c r="V98" s="83">
        <v>4198804</v>
      </c>
      <c r="W98" s="89"/>
      <c r="X98" s="84">
        <f t="shared" si="29"/>
        <v>4198804</v>
      </c>
      <c r="Y98" s="83">
        <v>868162.54</v>
      </c>
      <c r="Z98" s="83">
        <v>0</v>
      </c>
      <c r="AA98" s="85">
        <f t="shared" si="30"/>
        <v>868162.54</v>
      </c>
      <c r="AB98" s="86">
        <f t="shared" si="34"/>
        <v>0.20676424524697987</v>
      </c>
      <c r="AC98" s="90">
        <v>0</v>
      </c>
      <c r="AD98" s="85">
        <f t="shared" si="33"/>
        <v>4198804</v>
      </c>
      <c r="AE98" s="42">
        <f t="shared" si="39"/>
        <v>0</v>
      </c>
      <c r="AF98" s="88">
        <f t="shared" si="38"/>
        <v>0</v>
      </c>
      <c r="AG98" s="45" t="s">
        <v>121</v>
      </c>
      <c r="AH98" s="35">
        <v>0</v>
      </c>
      <c r="AI98" s="35" t="s">
        <v>21</v>
      </c>
      <c r="AJ98" s="35" t="s">
        <v>15</v>
      </c>
      <c r="AK98" s="35" t="s">
        <v>224</v>
      </c>
      <c r="AL98" s="35" t="s">
        <v>232</v>
      </c>
      <c r="AM98" s="35" t="s">
        <v>686</v>
      </c>
      <c r="AN98" s="42">
        <f t="shared" si="32"/>
        <v>3330641.46</v>
      </c>
    </row>
    <row r="99" spans="1:42" s="37" customFormat="1" ht="115.2" x14ac:dyDescent="0.3">
      <c r="A99" s="37">
        <v>409</v>
      </c>
      <c r="B99" s="164" t="s">
        <v>763</v>
      </c>
      <c r="C99" s="35" t="s">
        <v>764</v>
      </c>
      <c r="D99" s="35">
        <v>3145</v>
      </c>
      <c r="E99" s="38">
        <v>44854</v>
      </c>
      <c r="F99" s="38">
        <v>45657</v>
      </c>
      <c r="G99" s="39">
        <f t="shared" si="35"/>
        <v>803</v>
      </c>
      <c r="H99" s="40">
        <f t="shared" ref="H99:H130" si="40">IF(U99="Completed",1,($B$1-E99)/G99)</f>
        <v>1</v>
      </c>
      <c r="I99" s="41">
        <v>535600</v>
      </c>
      <c r="J99" s="41">
        <v>0</v>
      </c>
      <c r="K99" s="41">
        <v>0</v>
      </c>
      <c r="L99" s="42">
        <f t="shared" si="36"/>
        <v>535600</v>
      </c>
      <c r="M99" s="41">
        <v>535600</v>
      </c>
      <c r="N99" s="42">
        <f t="shared" si="37"/>
        <v>0</v>
      </c>
      <c r="O99" s="83">
        <v>535600</v>
      </c>
      <c r="P99" s="41" t="s">
        <v>765</v>
      </c>
      <c r="Q99" s="35" t="s">
        <v>766</v>
      </c>
      <c r="R99" s="35" t="s">
        <v>767</v>
      </c>
      <c r="S99" s="35" t="s">
        <v>768</v>
      </c>
      <c r="T99" s="149" t="s">
        <v>769</v>
      </c>
      <c r="U99" s="35" t="s">
        <v>26</v>
      </c>
      <c r="V99" s="83">
        <v>535600</v>
      </c>
      <c r="W99" s="89"/>
      <c r="X99" s="84">
        <f t="shared" ref="X99:X130" si="41">V99+W99</f>
        <v>535600</v>
      </c>
      <c r="Y99" s="83">
        <v>511985.36</v>
      </c>
      <c r="Z99" s="83"/>
      <c r="AA99" s="85">
        <f t="shared" ref="AA99:AA130" si="42">Y99+Z99</f>
        <v>511985.36</v>
      </c>
      <c r="AB99" s="86">
        <f t="shared" si="34"/>
        <v>0.95590993278566094</v>
      </c>
      <c r="AC99" s="90">
        <v>0</v>
      </c>
      <c r="AD99" s="85">
        <f t="shared" si="33"/>
        <v>535600</v>
      </c>
      <c r="AE99" s="42">
        <f t="shared" si="39"/>
        <v>0</v>
      </c>
      <c r="AF99" s="88">
        <f t="shared" si="38"/>
        <v>0</v>
      </c>
      <c r="AG99" s="45" t="s">
        <v>121</v>
      </c>
      <c r="AH99" s="35">
        <v>0</v>
      </c>
      <c r="AI99" s="35" t="s">
        <v>21</v>
      </c>
      <c r="AJ99" s="35" t="s">
        <v>15</v>
      </c>
      <c r="AK99" s="35" t="s">
        <v>224</v>
      </c>
      <c r="AL99" s="35" t="s">
        <v>232</v>
      </c>
      <c r="AM99" s="35" t="s">
        <v>686</v>
      </c>
      <c r="AN99" s="42">
        <f t="shared" ref="AN99:AN130" si="43">AD99-AA99</f>
        <v>23614.640000000014</v>
      </c>
    </row>
    <row r="100" spans="1:42" s="37" customFormat="1" ht="115.2" x14ac:dyDescent="0.3">
      <c r="A100" s="37">
        <v>409</v>
      </c>
      <c r="B100" s="164" t="s">
        <v>770</v>
      </c>
      <c r="C100" s="35" t="s">
        <v>771</v>
      </c>
      <c r="D100" s="35">
        <v>3145</v>
      </c>
      <c r="E100" s="38">
        <v>44769</v>
      </c>
      <c r="F100" s="38">
        <v>45930</v>
      </c>
      <c r="G100" s="39">
        <f t="shared" si="35"/>
        <v>1161</v>
      </c>
      <c r="H100" s="40">
        <f t="shared" si="40"/>
        <v>0.9750215331610681</v>
      </c>
      <c r="I100" s="41">
        <v>1563117</v>
      </c>
      <c r="J100" s="41">
        <v>0</v>
      </c>
      <c r="K100" s="41">
        <v>0</v>
      </c>
      <c r="L100" s="42">
        <f t="shared" si="36"/>
        <v>1563117</v>
      </c>
      <c r="M100" s="41">
        <v>1563117</v>
      </c>
      <c r="N100" s="42">
        <f t="shared" si="37"/>
        <v>0</v>
      </c>
      <c r="O100" s="83">
        <v>1563117</v>
      </c>
      <c r="P100" s="41" t="s">
        <v>772</v>
      </c>
      <c r="Q100" s="35" t="s">
        <v>773</v>
      </c>
      <c r="R100" s="35" t="s">
        <v>774</v>
      </c>
      <c r="S100" s="35" t="s">
        <v>775</v>
      </c>
      <c r="T100" s="149" t="s">
        <v>776</v>
      </c>
      <c r="U100" s="35" t="s">
        <v>22</v>
      </c>
      <c r="V100" s="83">
        <v>1563117</v>
      </c>
      <c r="W100" s="89"/>
      <c r="X100" s="84">
        <f t="shared" si="41"/>
        <v>1563117</v>
      </c>
      <c r="Y100" s="83">
        <v>1545914.26</v>
      </c>
      <c r="Z100" s="83">
        <v>0</v>
      </c>
      <c r="AA100" s="85">
        <f t="shared" si="42"/>
        <v>1545914.26</v>
      </c>
      <c r="AB100" s="86">
        <f t="shared" si="34"/>
        <v>0.98899459221542596</v>
      </c>
      <c r="AC100" s="90">
        <v>0</v>
      </c>
      <c r="AD100" s="85">
        <f t="shared" si="33"/>
        <v>1563117</v>
      </c>
      <c r="AE100" s="42">
        <f t="shared" si="39"/>
        <v>0</v>
      </c>
      <c r="AF100" s="88">
        <f t="shared" si="38"/>
        <v>0</v>
      </c>
      <c r="AG100" s="45" t="s">
        <v>121</v>
      </c>
      <c r="AH100" s="35">
        <v>705</v>
      </c>
      <c r="AI100" s="35" t="s">
        <v>21</v>
      </c>
      <c r="AJ100" s="35" t="s">
        <v>15</v>
      </c>
      <c r="AK100" s="35" t="s">
        <v>584</v>
      </c>
      <c r="AL100" s="35" t="s">
        <v>179</v>
      </c>
      <c r="AM100" s="35" t="s">
        <v>686</v>
      </c>
      <c r="AN100" s="42">
        <f t="shared" si="43"/>
        <v>17202.739999999991</v>
      </c>
    </row>
    <row r="101" spans="1:42" s="37" customFormat="1" ht="129.6" x14ac:dyDescent="0.3">
      <c r="A101" s="37">
        <v>409</v>
      </c>
      <c r="B101" s="164" t="s">
        <v>777</v>
      </c>
      <c r="C101" s="35" t="s">
        <v>778</v>
      </c>
      <c r="D101" s="35">
        <v>3145</v>
      </c>
      <c r="E101" s="38">
        <v>45091</v>
      </c>
      <c r="F101" s="38">
        <v>45838</v>
      </c>
      <c r="G101" s="39">
        <f t="shared" si="35"/>
        <v>747</v>
      </c>
      <c r="H101" s="40">
        <f t="shared" si="40"/>
        <v>1.0843373493975903</v>
      </c>
      <c r="I101" s="41">
        <v>5000000</v>
      </c>
      <c r="J101" s="41">
        <v>0</v>
      </c>
      <c r="K101" s="41">
        <v>0</v>
      </c>
      <c r="L101" s="42">
        <f t="shared" si="36"/>
        <v>5000000</v>
      </c>
      <c r="M101" s="41">
        <v>5000000</v>
      </c>
      <c r="N101" s="42">
        <f t="shared" si="37"/>
        <v>0</v>
      </c>
      <c r="O101" s="83">
        <v>5000000</v>
      </c>
      <c r="P101" s="41" t="s">
        <v>779</v>
      </c>
      <c r="Q101" s="35" t="s">
        <v>780</v>
      </c>
      <c r="R101" s="35" t="s">
        <v>781</v>
      </c>
      <c r="S101" s="35" t="s">
        <v>780</v>
      </c>
      <c r="T101" s="149" t="s">
        <v>782</v>
      </c>
      <c r="U101" s="35" t="s">
        <v>22</v>
      </c>
      <c r="V101" s="83">
        <v>5000000</v>
      </c>
      <c r="W101" s="89"/>
      <c r="X101" s="84">
        <f t="shared" si="41"/>
        <v>5000000</v>
      </c>
      <c r="Y101" s="83">
        <v>3920428.26</v>
      </c>
      <c r="Z101" s="83">
        <v>0</v>
      </c>
      <c r="AA101" s="85">
        <f t="shared" si="42"/>
        <v>3920428.26</v>
      </c>
      <c r="AB101" s="86">
        <f t="shared" si="34"/>
        <v>0.78408565199999991</v>
      </c>
      <c r="AC101" s="90">
        <v>0</v>
      </c>
      <c r="AD101" s="85">
        <f t="shared" si="33"/>
        <v>5000000</v>
      </c>
      <c r="AE101" s="42">
        <f t="shared" si="39"/>
        <v>0</v>
      </c>
      <c r="AF101" s="88">
        <f t="shared" si="38"/>
        <v>0</v>
      </c>
      <c r="AG101" s="45" t="s">
        <v>121</v>
      </c>
      <c r="AH101" s="35">
        <v>237</v>
      </c>
      <c r="AI101" s="35" t="s">
        <v>21</v>
      </c>
      <c r="AJ101" s="35" t="s">
        <v>15</v>
      </c>
      <c r="AK101" s="35" t="s">
        <v>25</v>
      </c>
      <c r="AL101" s="35" t="s">
        <v>232</v>
      </c>
      <c r="AM101" s="35" t="s">
        <v>686</v>
      </c>
      <c r="AN101" s="42">
        <f t="shared" si="43"/>
        <v>1079571.7400000002</v>
      </c>
    </row>
    <row r="102" spans="1:42" s="37" customFormat="1" ht="86.4" x14ac:dyDescent="0.3">
      <c r="A102" s="37">
        <v>409</v>
      </c>
      <c r="B102" s="164" t="s">
        <v>783</v>
      </c>
      <c r="C102" s="35" t="s">
        <v>784</v>
      </c>
      <c r="D102" s="35">
        <v>3145</v>
      </c>
      <c r="E102" s="38">
        <v>44854</v>
      </c>
      <c r="F102" s="38">
        <v>45291</v>
      </c>
      <c r="G102" s="39">
        <f t="shared" si="35"/>
        <v>437</v>
      </c>
      <c r="H102" s="40">
        <f t="shared" si="40"/>
        <v>1</v>
      </c>
      <c r="I102" s="41">
        <v>651687</v>
      </c>
      <c r="J102" s="41">
        <v>-9996.9500000000007</v>
      </c>
      <c r="K102" s="41">
        <v>0</v>
      </c>
      <c r="L102" s="42">
        <f t="shared" si="36"/>
        <v>641690.05000000005</v>
      </c>
      <c r="M102" s="41">
        <v>641690.05000000005</v>
      </c>
      <c r="N102" s="42">
        <f t="shared" si="37"/>
        <v>0</v>
      </c>
      <c r="O102" s="83">
        <v>651687</v>
      </c>
      <c r="P102" s="45" t="s">
        <v>785</v>
      </c>
      <c r="Q102" s="35" t="s">
        <v>786</v>
      </c>
      <c r="R102" s="35" t="s">
        <v>787</v>
      </c>
      <c r="S102" s="35" t="s">
        <v>788</v>
      </c>
      <c r="T102" s="149" t="s">
        <v>789</v>
      </c>
      <c r="U102" s="35" t="s">
        <v>26</v>
      </c>
      <c r="V102" s="83">
        <v>641690.05000000005</v>
      </c>
      <c r="W102" s="89"/>
      <c r="X102" s="84">
        <f t="shared" si="41"/>
        <v>641690.05000000005</v>
      </c>
      <c r="Y102" s="83">
        <v>641690.05000000005</v>
      </c>
      <c r="Z102" s="83"/>
      <c r="AA102" s="85">
        <f t="shared" si="42"/>
        <v>641690.05000000005</v>
      </c>
      <c r="AB102" s="86">
        <f t="shared" si="34"/>
        <v>0.98465989040751167</v>
      </c>
      <c r="AC102" s="90">
        <v>-9996.9500000000007</v>
      </c>
      <c r="AD102" s="85">
        <f t="shared" si="33"/>
        <v>641690.05000000005</v>
      </c>
      <c r="AE102" s="42">
        <f t="shared" si="39"/>
        <v>0</v>
      </c>
      <c r="AF102" s="88">
        <f t="shared" si="38"/>
        <v>0</v>
      </c>
      <c r="AG102" s="45" t="s">
        <v>121</v>
      </c>
      <c r="AH102" s="35">
        <v>404</v>
      </c>
      <c r="AI102" s="35" t="s">
        <v>21</v>
      </c>
      <c r="AJ102" s="35" t="s">
        <v>15</v>
      </c>
      <c r="AK102" s="35" t="s">
        <v>25</v>
      </c>
      <c r="AL102" s="35" t="s">
        <v>179</v>
      </c>
      <c r="AM102" s="35" t="s">
        <v>686</v>
      </c>
      <c r="AN102" s="42">
        <f t="shared" si="43"/>
        <v>0</v>
      </c>
    </row>
    <row r="103" spans="1:42" s="37" customFormat="1" ht="409.6" x14ac:dyDescent="0.3">
      <c r="A103" s="37">
        <v>409</v>
      </c>
      <c r="B103" s="164" t="s">
        <v>790</v>
      </c>
      <c r="C103" s="35" t="s">
        <v>791</v>
      </c>
      <c r="D103" s="35">
        <v>3145</v>
      </c>
      <c r="E103" s="38">
        <v>44910</v>
      </c>
      <c r="F103" s="38">
        <v>46387</v>
      </c>
      <c r="G103" s="39">
        <f t="shared" si="35"/>
        <v>1477</v>
      </c>
      <c r="H103" s="40">
        <f t="shared" si="40"/>
        <v>0.67095463777928233</v>
      </c>
      <c r="I103" s="41">
        <v>7022777</v>
      </c>
      <c r="J103" s="41">
        <v>-401607</v>
      </c>
      <c r="K103" s="41">
        <v>0</v>
      </c>
      <c r="L103" s="42">
        <f t="shared" si="36"/>
        <v>6621170</v>
      </c>
      <c r="M103" s="41">
        <v>6621170</v>
      </c>
      <c r="N103" s="42">
        <f t="shared" si="37"/>
        <v>0</v>
      </c>
      <c r="O103" s="83">
        <v>7022777</v>
      </c>
      <c r="P103" s="41" t="s">
        <v>792</v>
      </c>
      <c r="Q103" s="35" t="s">
        <v>793</v>
      </c>
      <c r="R103" s="35" t="s">
        <v>794</v>
      </c>
      <c r="S103" s="35" t="s">
        <v>794</v>
      </c>
      <c r="T103" s="149" t="s">
        <v>795</v>
      </c>
      <c r="U103" s="35" t="s">
        <v>17</v>
      </c>
      <c r="V103" s="83">
        <v>6621170</v>
      </c>
      <c r="W103" s="89"/>
      <c r="X103" s="84">
        <f t="shared" si="41"/>
        <v>6621170</v>
      </c>
      <c r="Y103" s="83">
        <v>838510.75</v>
      </c>
      <c r="Z103" s="83">
        <v>0</v>
      </c>
      <c r="AA103" s="85">
        <f t="shared" si="42"/>
        <v>838510.75</v>
      </c>
      <c r="AB103" s="86">
        <f t="shared" si="34"/>
        <v>0.11939874354546641</v>
      </c>
      <c r="AC103" s="90">
        <v>-401607</v>
      </c>
      <c r="AD103" s="85">
        <f t="shared" si="33"/>
        <v>6621170</v>
      </c>
      <c r="AE103" s="42">
        <f t="shared" si="39"/>
        <v>0</v>
      </c>
      <c r="AF103" s="88">
        <f t="shared" si="38"/>
        <v>0</v>
      </c>
      <c r="AG103" s="45" t="s">
        <v>121</v>
      </c>
      <c r="AH103" s="35" t="s">
        <v>21</v>
      </c>
      <c r="AI103" s="35" t="s">
        <v>21</v>
      </c>
      <c r="AJ103" s="35" t="s">
        <v>8</v>
      </c>
      <c r="AK103" s="35" t="s">
        <v>224</v>
      </c>
      <c r="AL103" s="35" t="s">
        <v>122</v>
      </c>
      <c r="AM103" s="35" t="s">
        <v>76</v>
      </c>
      <c r="AN103" s="42">
        <f t="shared" si="43"/>
        <v>5782659.25</v>
      </c>
    </row>
    <row r="104" spans="1:42" s="37" customFormat="1" ht="144" x14ac:dyDescent="0.3">
      <c r="A104" s="37">
        <v>409</v>
      </c>
      <c r="B104" s="164" t="s">
        <v>796</v>
      </c>
      <c r="C104" s="35" t="s">
        <v>797</v>
      </c>
      <c r="D104" s="35">
        <v>3145</v>
      </c>
      <c r="E104" s="38">
        <v>44854</v>
      </c>
      <c r="F104" s="38">
        <v>46022</v>
      </c>
      <c r="G104" s="39">
        <f t="shared" si="35"/>
        <v>1168</v>
      </c>
      <c r="H104" s="40">
        <f t="shared" si="40"/>
        <v>0.89640410958904104</v>
      </c>
      <c r="I104" s="41">
        <v>6000000</v>
      </c>
      <c r="J104" s="41">
        <v>0</v>
      </c>
      <c r="K104" s="41">
        <v>0</v>
      </c>
      <c r="L104" s="42">
        <f t="shared" si="36"/>
        <v>6000000</v>
      </c>
      <c r="M104" s="41">
        <v>6000000</v>
      </c>
      <c r="N104" s="42">
        <f t="shared" si="37"/>
        <v>0</v>
      </c>
      <c r="O104" s="83">
        <v>6000000</v>
      </c>
      <c r="P104" s="41" t="s">
        <v>798</v>
      </c>
      <c r="Q104" s="35" t="s">
        <v>799</v>
      </c>
      <c r="R104" s="35" t="s">
        <v>799</v>
      </c>
      <c r="S104" s="35" t="s">
        <v>800</v>
      </c>
      <c r="T104" s="149" t="s">
        <v>801</v>
      </c>
      <c r="U104" s="35" t="s">
        <v>22</v>
      </c>
      <c r="V104" s="83">
        <v>6000000</v>
      </c>
      <c r="W104" s="89"/>
      <c r="X104" s="84">
        <f t="shared" si="41"/>
        <v>6000000</v>
      </c>
      <c r="Y104" s="83">
        <v>3944065.52</v>
      </c>
      <c r="Z104" s="83">
        <v>0</v>
      </c>
      <c r="AA104" s="85">
        <f t="shared" si="42"/>
        <v>3944065.52</v>
      </c>
      <c r="AB104" s="86">
        <f t="shared" si="34"/>
        <v>0.65734425333333335</v>
      </c>
      <c r="AC104" s="90">
        <v>0</v>
      </c>
      <c r="AD104" s="85">
        <f t="shared" si="33"/>
        <v>6000000</v>
      </c>
      <c r="AE104" s="42">
        <f t="shared" si="39"/>
        <v>0</v>
      </c>
      <c r="AF104" s="88">
        <f t="shared" si="38"/>
        <v>0</v>
      </c>
      <c r="AG104" s="45" t="s">
        <v>121</v>
      </c>
      <c r="AH104" s="35">
        <f>206+104</f>
        <v>310</v>
      </c>
      <c r="AI104" s="35" t="s">
        <v>21</v>
      </c>
      <c r="AJ104" s="35" t="s">
        <v>15</v>
      </c>
      <c r="AK104" s="35" t="s">
        <v>25</v>
      </c>
      <c r="AL104" s="35" t="s">
        <v>149</v>
      </c>
      <c r="AM104" s="37" t="s">
        <v>686</v>
      </c>
      <c r="AN104" s="42">
        <f t="shared" si="43"/>
        <v>2055934.48</v>
      </c>
    </row>
    <row r="105" spans="1:42" s="37" customFormat="1" ht="115.2" x14ac:dyDescent="0.3">
      <c r="A105" s="37">
        <v>409</v>
      </c>
      <c r="B105" s="164" t="s">
        <v>802</v>
      </c>
      <c r="C105" s="54" t="s">
        <v>803</v>
      </c>
      <c r="D105" s="35">
        <v>3145</v>
      </c>
      <c r="E105" s="38">
        <v>45219</v>
      </c>
      <c r="F105" s="38">
        <v>45716</v>
      </c>
      <c r="G105" s="39">
        <f t="shared" si="35"/>
        <v>497</v>
      </c>
      <c r="H105" s="40">
        <f t="shared" si="40"/>
        <v>1</v>
      </c>
      <c r="I105" s="41">
        <v>1695060</v>
      </c>
      <c r="J105" s="41">
        <v>0</v>
      </c>
      <c r="K105" s="41">
        <v>0</v>
      </c>
      <c r="L105" s="42">
        <f t="shared" si="36"/>
        <v>1695060</v>
      </c>
      <c r="M105" s="41">
        <v>1695060</v>
      </c>
      <c r="N105" s="42">
        <f t="shared" si="37"/>
        <v>0</v>
      </c>
      <c r="O105" s="83">
        <v>1695060</v>
      </c>
      <c r="P105" s="41" t="s">
        <v>804</v>
      </c>
      <c r="Q105" s="35" t="s">
        <v>805</v>
      </c>
      <c r="R105" s="35" t="s">
        <v>806</v>
      </c>
      <c r="S105" s="35" t="s">
        <v>807</v>
      </c>
      <c r="T105" s="149" t="s">
        <v>808</v>
      </c>
      <c r="U105" s="35" t="s">
        <v>26</v>
      </c>
      <c r="V105" s="83">
        <v>1695060</v>
      </c>
      <c r="W105" s="89"/>
      <c r="X105" s="84">
        <f t="shared" si="41"/>
        <v>1695060</v>
      </c>
      <c r="Y105" s="83">
        <v>1607991</v>
      </c>
      <c r="Z105" s="83"/>
      <c r="AA105" s="85">
        <f t="shared" si="42"/>
        <v>1607991</v>
      </c>
      <c r="AB105" s="86">
        <f t="shared" si="34"/>
        <v>0.94863367668401122</v>
      </c>
      <c r="AC105" s="90">
        <v>0</v>
      </c>
      <c r="AD105" s="85">
        <f t="shared" si="33"/>
        <v>1695060</v>
      </c>
      <c r="AE105" s="42">
        <f t="shared" si="39"/>
        <v>0</v>
      </c>
      <c r="AF105" s="88">
        <f t="shared" si="38"/>
        <v>0</v>
      </c>
      <c r="AG105" s="45" t="s">
        <v>121</v>
      </c>
      <c r="AH105" s="35">
        <v>60</v>
      </c>
      <c r="AI105" s="35" t="s">
        <v>21</v>
      </c>
      <c r="AJ105" s="35" t="s">
        <v>15</v>
      </c>
      <c r="AK105" s="35" t="s">
        <v>224</v>
      </c>
      <c r="AL105" s="35" t="s">
        <v>232</v>
      </c>
      <c r="AM105" s="35" t="s">
        <v>686</v>
      </c>
      <c r="AN105" s="42">
        <f t="shared" si="43"/>
        <v>87069</v>
      </c>
    </row>
    <row r="106" spans="1:42" s="37" customFormat="1" ht="86.4" x14ac:dyDescent="0.3">
      <c r="A106" s="37">
        <v>409</v>
      </c>
      <c r="B106" s="164" t="s">
        <v>809</v>
      </c>
      <c r="C106" s="35" t="s">
        <v>810</v>
      </c>
      <c r="D106" s="35">
        <v>3145</v>
      </c>
      <c r="E106" s="38">
        <v>44769</v>
      </c>
      <c r="F106" s="38">
        <v>45657</v>
      </c>
      <c r="G106" s="39">
        <f t="shared" si="35"/>
        <v>888</v>
      </c>
      <c r="H106" s="40">
        <f t="shared" si="40"/>
        <v>1</v>
      </c>
      <c r="I106" s="41">
        <v>485869</v>
      </c>
      <c r="J106" s="41">
        <v>0</v>
      </c>
      <c r="K106" s="41">
        <v>0</v>
      </c>
      <c r="L106" s="42">
        <f t="shared" si="36"/>
        <v>485869</v>
      </c>
      <c r="M106" s="41">
        <v>485869</v>
      </c>
      <c r="N106" s="42">
        <f t="shared" si="37"/>
        <v>0</v>
      </c>
      <c r="O106" s="83">
        <v>485869</v>
      </c>
      <c r="P106" s="41" t="s">
        <v>738</v>
      </c>
      <c r="Q106" s="35" t="s">
        <v>811</v>
      </c>
      <c r="R106" s="35" t="s">
        <v>811</v>
      </c>
      <c r="S106" s="35" t="s">
        <v>812</v>
      </c>
      <c r="T106" s="149" t="s">
        <v>813</v>
      </c>
      <c r="U106" s="35" t="s">
        <v>26</v>
      </c>
      <c r="V106" s="83">
        <v>485869</v>
      </c>
      <c r="W106" s="89"/>
      <c r="X106" s="84">
        <f t="shared" si="41"/>
        <v>485869</v>
      </c>
      <c r="Y106" s="83">
        <v>481540.27</v>
      </c>
      <c r="Z106" s="83"/>
      <c r="AA106" s="85">
        <f t="shared" si="42"/>
        <v>481540.27</v>
      </c>
      <c r="AB106" s="86">
        <f t="shared" si="34"/>
        <v>0.99109074668274788</v>
      </c>
      <c r="AC106" s="90">
        <v>0</v>
      </c>
      <c r="AD106" s="85">
        <f t="shared" si="33"/>
        <v>485869</v>
      </c>
      <c r="AE106" s="42">
        <f t="shared" si="39"/>
        <v>0</v>
      </c>
      <c r="AF106" s="88">
        <f t="shared" si="38"/>
        <v>0</v>
      </c>
      <c r="AG106" s="45" t="s">
        <v>121</v>
      </c>
      <c r="AH106" s="35">
        <v>120</v>
      </c>
      <c r="AI106" s="35" t="s">
        <v>21</v>
      </c>
      <c r="AJ106" s="35" t="s">
        <v>15</v>
      </c>
      <c r="AK106" s="35" t="s">
        <v>224</v>
      </c>
      <c r="AL106" s="35" t="s">
        <v>179</v>
      </c>
      <c r="AM106" s="35" t="s">
        <v>686</v>
      </c>
      <c r="AN106" s="42">
        <f t="shared" si="43"/>
        <v>4328.7299999999814</v>
      </c>
    </row>
    <row r="107" spans="1:42" s="37" customFormat="1" ht="86.4" x14ac:dyDescent="0.3">
      <c r="A107" s="37">
        <v>409</v>
      </c>
      <c r="B107" s="164" t="s">
        <v>814</v>
      </c>
      <c r="C107" s="54" t="s">
        <v>815</v>
      </c>
      <c r="D107" s="35">
        <v>3145</v>
      </c>
      <c r="E107" s="38">
        <v>44854</v>
      </c>
      <c r="F107" s="38">
        <v>45218</v>
      </c>
      <c r="G107" s="39">
        <f t="shared" si="35"/>
        <v>364</v>
      </c>
      <c r="H107" s="40">
        <f t="shared" si="40"/>
        <v>1</v>
      </c>
      <c r="I107" s="41">
        <v>500000</v>
      </c>
      <c r="J107" s="41">
        <v>-500000</v>
      </c>
      <c r="K107" s="41">
        <v>0</v>
      </c>
      <c r="L107" s="42">
        <f t="shared" si="36"/>
        <v>0</v>
      </c>
      <c r="M107" s="41">
        <v>0</v>
      </c>
      <c r="N107" s="42">
        <f t="shared" si="37"/>
        <v>0</v>
      </c>
      <c r="O107" s="83">
        <v>500000</v>
      </c>
      <c r="P107" s="41" t="s">
        <v>816</v>
      </c>
      <c r="Q107" s="35" t="s">
        <v>817</v>
      </c>
      <c r="R107" s="35" t="s">
        <v>818</v>
      </c>
      <c r="S107" s="35" t="s">
        <v>818</v>
      </c>
      <c r="T107" s="149" t="s">
        <v>819</v>
      </c>
      <c r="U107" s="35" t="s">
        <v>26</v>
      </c>
      <c r="V107" s="83">
        <v>0</v>
      </c>
      <c r="W107" s="89"/>
      <c r="X107" s="84">
        <f t="shared" si="41"/>
        <v>0</v>
      </c>
      <c r="Y107" s="83">
        <v>0</v>
      </c>
      <c r="Z107" s="83"/>
      <c r="AA107" s="85">
        <f t="shared" si="42"/>
        <v>0</v>
      </c>
      <c r="AB107" s="86">
        <f t="shared" si="34"/>
        <v>0</v>
      </c>
      <c r="AC107" s="92">
        <v>-500000</v>
      </c>
      <c r="AD107" s="85">
        <f t="shared" si="33"/>
        <v>0</v>
      </c>
      <c r="AE107" s="42">
        <f t="shared" si="39"/>
        <v>0</v>
      </c>
      <c r="AF107" s="88">
        <f t="shared" si="38"/>
        <v>0</v>
      </c>
      <c r="AG107" s="45" t="s">
        <v>121</v>
      </c>
      <c r="AH107" s="35" t="s">
        <v>21</v>
      </c>
      <c r="AI107" s="35" t="s">
        <v>21</v>
      </c>
      <c r="AJ107" s="35" t="s">
        <v>15</v>
      </c>
      <c r="AK107" s="35" t="s">
        <v>25</v>
      </c>
      <c r="AL107" s="35" t="s">
        <v>133</v>
      </c>
      <c r="AM107" s="96" t="s">
        <v>819</v>
      </c>
      <c r="AN107" s="42">
        <f t="shared" si="43"/>
        <v>0</v>
      </c>
    </row>
    <row r="108" spans="1:42" s="37" customFormat="1" ht="72" x14ac:dyDescent="0.3">
      <c r="A108" s="37">
        <v>409</v>
      </c>
      <c r="B108" s="164" t="s">
        <v>820</v>
      </c>
      <c r="C108" s="54" t="s">
        <v>821</v>
      </c>
      <c r="D108" s="35">
        <v>3145</v>
      </c>
      <c r="E108" s="38">
        <v>45474</v>
      </c>
      <c r="F108" s="38">
        <v>46446</v>
      </c>
      <c r="G108" s="39">
        <f t="shared" si="35"/>
        <v>972</v>
      </c>
      <c r="H108" s="40">
        <f t="shared" si="40"/>
        <v>0.43930041152263377</v>
      </c>
      <c r="I108" s="41">
        <v>1014987</v>
      </c>
      <c r="J108" s="41">
        <v>232771</v>
      </c>
      <c r="K108" s="41">
        <v>0</v>
      </c>
      <c r="L108" s="42">
        <f t="shared" si="36"/>
        <v>1247758</v>
      </c>
      <c r="M108" s="41">
        <v>1247758</v>
      </c>
      <c r="N108" s="42">
        <f t="shared" si="37"/>
        <v>0</v>
      </c>
      <c r="O108" s="83">
        <v>1014987</v>
      </c>
      <c r="P108" s="41" t="s">
        <v>822</v>
      </c>
      <c r="Q108" s="35" t="s">
        <v>823</v>
      </c>
      <c r="R108" s="35" t="s">
        <v>824</v>
      </c>
      <c r="S108" s="35" t="s">
        <v>825</v>
      </c>
      <c r="T108" s="149" t="s">
        <v>826</v>
      </c>
      <c r="U108" s="35" t="s">
        <v>22</v>
      </c>
      <c r="V108" s="83">
        <v>1247758</v>
      </c>
      <c r="W108" s="83"/>
      <c r="X108" s="84">
        <f t="shared" si="41"/>
        <v>1247758</v>
      </c>
      <c r="Y108" s="83">
        <v>563387.75</v>
      </c>
      <c r="Z108" s="83">
        <v>36252.879999999997</v>
      </c>
      <c r="AA108" s="85">
        <f t="shared" si="42"/>
        <v>599640.63</v>
      </c>
      <c r="AB108" s="86">
        <f t="shared" si="34"/>
        <v>0.59078651253661374</v>
      </c>
      <c r="AC108" s="90">
        <v>232771</v>
      </c>
      <c r="AD108" s="85">
        <f t="shared" si="33"/>
        <v>1247758</v>
      </c>
      <c r="AE108" s="42">
        <f t="shared" si="39"/>
        <v>0</v>
      </c>
      <c r="AF108" s="88">
        <f t="shared" si="38"/>
        <v>0</v>
      </c>
      <c r="AG108" s="45" t="s">
        <v>121</v>
      </c>
      <c r="AH108" s="35" t="s">
        <v>21</v>
      </c>
      <c r="AI108" s="35" t="s">
        <v>21</v>
      </c>
      <c r="AJ108" s="35" t="s">
        <v>15</v>
      </c>
      <c r="AK108" s="35" t="s">
        <v>25</v>
      </c>
      <c r="AL108" s="35" t="s">
        <v>149</v>
      </c>
      <c r="AM108" s="97"/>
      <c r="AN108" s="42">
        <f t="shared" si="43"/>
        <v>648117.37</v>
      </c>
      <c r="AP108" s="133"/>
    </row>
    <row r="109" spans="1:42" s="37" customFormat="1" ht="115.2" x14ac:dyDescent="0.3">
      <c r="A109" s="37">
        <v>409</v>
      </c>
      <c r="B109" s="164" t="s">
        <v>827</v>
      </c>
      <c r="C109" s="35" t="s">
        <v>828</v>
      </c>
      <c r="D109" s="35">
        <v>3145</v>
      </c>
      <c r="E109" s="38">
        <v>44791</v>
      </c>
      <c r="F109" s="38">
        <v>45657</v>
      </c>
      <c r="G109" s="39">
        <f t="shared" si="35"/>
        <v>866</v>
      </c>
      <c r="H109" s="40">
        <f t="shared" si="40"/>
        <v>1</v>
      </c>
      <c r="I109" s="41">
        <v>400000</v>
      </c>
      <c r="J109" s="41">
        <v>0</v>
      </c>
      <c r="K109" s="41">
        <v>0</v>
      </c>
      <c r="L109" s="42">
        <f t="shared" si="36"/>
        <v>400000</v>
      </c>
      <c r="M109" s="41">
        <v>400000</v>
      </c>
      <c r="N109" s="42">
        <f t="shared" si="37"/>
        <v>0</v>
      </c>
      <c r="O109" s="83">
        <v>400000</v>
      </c>
      <c r="P109" s="41" t="s">
        <v>829</v>
      </c>
      <c r="Q109" s="35" t="s">
        <v>830</v>
      </c>
      <c r="R109" s="35" t="s">
        <v>831</v>
      </c>
      <c r="S109" s="35" t="s">
        <v>832</v>
      </c>
      <c r="T109" s="149" t="s">
        <v>833</v>
      </c>
      <c r="U109" s="35" t="s">
        <v>26</v>
      </c>
      <c r="V109" s="83">
        <v>400000</v>
      </c>
      <c r="W109" s="89"/>
      <c r="X109" s="84">
        <f t="shared" si="41"/>
        <v>400000</v>
      </c>
      <c r="Y109" s="83">
        <v>400000</v>
      </c>
      <c r="Z109" s="83"/>
      <c r="AA109" s="85">
        <f t="shared" si="42"/>
        <v>400000</v>
      </c>
      <c r="AB109" s="86">
        <f t="shared" si="34"/>
        <v>1</v>
      </c>
      <c r="AC109" s="90">
        <v>0</v>
      </c>
      <c r="AD109" s="85">
        <f t="shared" si="33"/>
        <v>400000</v>
      </c>
      <c r="AE109" s="42">
        <f t="shared" si="39"/>
        <v>0</v>
      </c>
      <c r="AF109" s="88">
        <f t="shared" si="38"/>
        <v>0</v>
      </c>
      <c r="AG109" s="45" t="s">
        <v>121</v>
      </c>
      <c r="AH109" s="35" t="s">
        <v>21</v>
      </c>
      <c r="AI109" s="35" t="s">
        <v>21</v>
      </c>
      <c r="AJ109" s="35" t="s">
        <v>15</v>
      </c>
      <c r="AK109" s="35" t="s">
        <v>224</v>
      </c>
      <c r="AL109" s="35" t="s">
        <v>122</v>
      </c>
      <c r="AM109" s="96" t="s">
        <v>76</v>
      </c>
      <c r="AN109" s="42">
        <f t="shared" si="43"/>
        <v>0</v>
      </c>
      <c r="AP109" s="34"/>
    </row>
    <row r="110" spans="1:42" s="37" customFormat="1" ht="86.4" x14ac:dyDescent="0.3">
      <c r="A110" s="37">
        <v>409</v>
      </c>
      <c r="B110" s="164" t="s">
        <v>834</v>
      </c>
      <c r="C110" s="35" t="s">
        <v>835</v>
      </c>
      <c r="D110" s="35">
        <v>3146</v>
      </c>
      <c r="E110" s="38">
        <v>44791</v>
      </c>
      <c r="F110" s="38">
        <v>45473</v>
      </c>
      <c r="G110" s="39">
        <f t="shared" si="35"/>
        <v>682</v>
      </c>
      <c r="H110" s="40">
        <f t="shared" si="40"/>
        <v>1</v>
      </c>
      <c r="I110" s="41">
        <v>1430349</v>
      </c>
      <c r="J110" s="41">
        <v>0</v>
      </c>
      <c r="K110" s="41">
        <v>-1430349</v>
      </c>
      <c r="L110" s="42">
        <f t="shared" si="36"/>
        <v>0</v>
      </c>
      <c r="M110" s="41">
        <v>0</v>
      </c>
      <c r="N110" s="42">
        <f t="shared" si="37"/>
        <v>0</v>
      </c>
      <c r="O110" s="83">
        <v>1430349</v>
      </c>
      <c r="P110" s="41" t="s">
        <v>836</v>
      </c>
      <c r="Q110" s="35" t="s">
        <v>837</v>
      </c>
      <c r="R110" s="35" t="s">
        <v>837</v>
      </c>
      <c r="S110" s="35" t="s">
        <v>837</v>
      </c>
      <c r="T110" s="149" t="s">
        <v>838</v>
      </c>
      <c r="U110" s="35" t="s">
        <v>26</v>
      </c>
      <c r="V110" s="83">
        <v>0</v>
      </c>
      <c r="W110" s="89"/>
      <c r="X110" s="84">
        <f t="shared" si="41"/>
        <v>0</v>
      </c>
      <c r="Y110" s="83">
        <v>0</v>
      </c>
      <c r="Z110" s="83"/>
      <c r="AA110" s="85">
        <f t="shared" si="42"/>
        <v>0</v>
      </c>
      <c r="AB110" s="86">
        <f t="shared" si="34"/>
        <v>0</v>
      </c>
      <c r="AC110" s="90">
        <v>-1430349</v>
      </c>
      <c r="AD110" s="85">
        <f t="shared" si="33"/>
        <v>0</v>
      </c>
      <c r="AE110" s="42">
        <f t="shared" si="39"/>
        <v>0</v>
      </c>
      <c r="AF110" s="88">
        <f t="shared" si="38"/>
        <v>0</v>
      </c>
      <c r="AG110" s="45" t="s">
        <v>121</v>
      </c>
      <c r="AH110" s="35">
        <v>0</v>
      </c>
      <c r="AI110" s="35" t="s">
        <v>21</v>
      </c>
      <c r="AJ110" s="35" t="s">
        <v>15</v>
      </c>
      <c r="AK110" s="35" t="s">
        <v>25</v>
      </c>
      <c r="AL110" s="35" t="s">
        <v>232</v>
      </c>
      <c r="AM110" s="35" t="s">
        <v>839</v>
      </c>
      <c r="AN110" s="42">
        <f t="shared" si="43"/>
        <v>0</v>
      </c>
    </row>
    <row r="111" spans="1:42" s="37" customFormat="1" ht="129.6" x14ac:dyDescent="0.3">
      <c r="A111" s="37">
        <v>409</v>
      </c>
      <c r="B111" s="164" t="s">
        <v>840</v>
      </c>
      <c r="C111" s="35" t="s">
        <v>841</v>
      </c>
      <c r="D111" s="35">
        <v>3146</v>
      </c>
      <c r="E111" s="38">
        <v>45108</v>
      </c>
      <c r="F111" s="38">
        <v>46387</v>
      </c>
      <c r="G111" s="39">
        <f t="shared" si="35"/>
        <v>1279</v>
      </c>
      <c r="H111" s="40">
        <f t="shared" si="40"/>
        <v>0.62001563721657549</v>
      </c>
      <c r="I111" s="41">
        <v>1461385</v>
      </c>
      <c r="J111" s="41">
        <v>0</v>
      </c>
      <c r="K111" s="41">
        <v>0</v>
      </c>
      <c r="L111" s="42">
        <f t="shared" si="36"/>
        <v>1461385</v>
      </c>
      <c r="M111" s="41">
        <v>1461385</v>
      </c>
      <c r="N111" s="42">
        <f t="shared" si="37"/>
        <v>0</v>
      </c>
      <c r="O111" s="83">
        <v>1461385</v>
      </c>
      <c r="P111" s="41" t="s">
        <v>842</v>
      </c>
      <c r="Q111" s="35" t="s">
        <v>837</v>
      </c>
      <c r="R111" s="35" t="s">
        <v>837</v>
      </c>
      <c r="S111" s="35" t="s">
        <v>837</v>
      </c>
      <c r="T111" s="149" t="s">
        <v>843</v>
      </c>
      <c r="U111" s="35" t="s">
        <v>22</v>
      </c>
      <c r="V111" s="83">
        <v>1461385</v>
      </c>
      <c r="W111" s="89"/>
      <c r="X111" s="84">
        <f t="shared" si="41"/>
        <v>1461385</v>
      </c>
      <c r="Y111" s="83">
        <v>1291845.3</v>
      </c>
      <c r="Z111" s="83">
        <v>0</v>
      </c>
      <c r="AA111" s="85">
        <f t="shared" si="42"/>
        <v>1291845.3</v>
      </c>
      <c r="AB111" s="86">
        <f t="shared" si="34"/>
        <v>0.88398697126356163</v>
      </c>
      <c r="AC111" s="90"/>
      <c r="AD111" s="85">
        <f t="shared" ref="AD111:AD138" si="44">O111+AC111</f>
        <v>1461385</v>
      </c>
      <c r="AE111" s="42">
        <f t="shared" si="39"/>
        <v>0</v>
      </c>
      <c r="AF111" s="88">
        <f t="shared" si="38"/>
        <v>0</v>
      </c>
      <c r="AG111" s="45" t="s">
        <v>121</v>
      </c>
      <c r="AH111" s="35">
        <v>52</v>
      </c>
      <c r="AI111" s="35" t="s">
        <v>21</v>
      </c>
      <c r="AJ111" s="35" t="s">
        <v>15</v>
      </c>
      <c r="AK111" s="35" t="s">
        <v>25</v>
      </c>
      <c r="AL111" s="35" t="s">
        <v>232</v>
      </c>
      <c r="AM111" s="35" t="s">
        <v>686</v>
      </c>
      <c r="AN111" s="42">
        <f t="shared" si="43"/>
        <v>169539.69999999995</v>
      </c>
      <c r="AP111" s="48"/>
    </row>
    <row r="112" spans="1:42" s="37" customFormat="1" ht="129.6" x14ac:dyDescent="0.3">
      <c r="A112" s="37">
        <v>409</v>
      </c>
      <c r="B112" s="164" t="s">
        <v>844</v>
      </c>
      <c r="C112" s="35" t="s">
        <v>845</v>
      </c>
      <c r="D112" s="35">
        <v>3146</v>
      </c>
      <c r="E112" s="38">
        <v>44791</v>
      </c>
      <c r="F112" s="38">
        <v>45838</v>
      </c>
      <c r="G112" s="39">
        <f t="shared" si="35"/>
        <v>1047</v>
      </c>
      <c r="H112" s="40">
        <f t="shared" si="40"/>
        <v>1.0601719197707737</v>
      </c>
      <c r="I112" s="41">
        <f>977346+980629</f>
        <v>1957975</v>
      </c>
      <c r="J112" s="41">
        <v>-49755</v>
      </c>
      <c r="K112" s="41">
        <v>0</v>
      </c>
      <c r="L112" s="42">
        <f t="shared" si="36"/>
        <v>1908220</v>
      </c>
      <c r="M112" s="41">
        <v>1908220</v>
      </c>
      <c r="N112" s="42">
        <f t="shared" si="37"/>
        <v>0</v>
      </c>
      <c r="O112" s="83">
        <f>977346+980629</f>
        <v>1957975</v>
      </c>
      <c r="P112" s="41" t="s">
        <v>846</v>
      </c>
      <c r="Q112" s="35" t="s">
        <v>847</v>
      </c>
      <c r="R112" s="35" t="s">
        <v>848</v>
      </c>
      <c r="S112" s="35" t="s">
        <v>848</v>
      </c>
      <c r="T112" s="149" t="s">
        <v>849</v>
      </c>
      <c r="U112" s="35" t="s">
        <v>22</v>
      </c>
      <c r="V112" s="83">
        <v>1908220</v>
      </c>
      <c r="W112" s="89"/>
      <c r="X112" s="84">
        <f t="shared" si="41"/>
        <v>1908220</v>
      </c>
      <c r="Y112" s="83">
        <v>1399965.1</v>
      </c>
      <c r="Z112" s="83">
        <v>0</v>
      </c>
      <c r="AA112" s="85">
        <f t="shared" si="42"/>
        <v>1399965.1</v>
      </c>
      <c r="AB112" s="86">
        <f t="shared" si="34"/>
        <v>0.71500662674446813</v>
      </c>
      <c r="AC112" s="90">
        <v>-49755</v>
      </c>
      <c r="AD112" s="85">
        <f t="shared" si="44"/>
        <v>1908220</v>
      </c>
      <c r="AE112" s="42">
        <f t="shared" si="39"/>
        <v>0</v>
      </c>
      <c r="AF112" s="88">
        <f t="shared" si="38"/>
        <v>0</v>
      </c>
      <c r="AG112" s="45" t="s">
        <v>121</v>
      </c>
      <c r="AH112" s="78">
        <v>4894</v>
      </c>
      <c r="AI112" s="35" t="s">
        <v>21</v>
      </c>
      <c r="AJ112" s="35" t="s">
        <v>15</v>
      </c>
      <c r="AK112" s="35" t="s">
        <v>25</v>
      </c>
      <c r="AL112" s="35" t="s">
        <v>232</v>
      </c>
      <c r="AM112" s="37" t="s">
        <v>686</v>
      </c>
      <c r="AN112" s="42">
        <f t="shared" si="43"/>
        <v>508254.89999999991</v>
      </c>
    </row>
    <row r="113" spans="1:42" s="37" customFormat="1" ht="115.2" x14ac:dyDescent="0.3">
      <c r="A113" s="37">
        <v>409</v>
      </c>
      <c r="B113" s="164" t="s">
        <v>850</v>
      </c>
      <c r="C113" s="54" t="s">
        <v>851</v>
      </c>
      <c r="D113" s="35">
        <v>3146</v>
      </c>
      <c r="E113" s="38">
        <v>44791</v>
      </c>
      <c r="F113" s="38">
        <v>46387</v>
      </c>
      <c r="G113" s="39">
        <f t="shared" si="35"/>
        <v>1596</v>
      </c>
      <c r="H113" s="40">
        <f t="shared" si="40"/>
        <v>0.69548872180451127</v>
      </c>
      <c r="I113" s="41">
        <f>2474401+2431165</f>
        <v>4905566</v>
      </c>
      <c r="J113" s="41">
        <v>-29031</v>
      </c>
      <c r="K113" s="41">
        <v>0</v>
      </c>
      <c r="L113" s="42">
        <f t="shared" si="36"/>
        <v>4876535</v>
      </c>
      <c r="M113" s="41">
        <v>4876535</v>
      </c>
      <c r="N113" s="42">
        <f t="shared" si="37"/>
        <v>0</v>
      </c>
      <c r="O113" s="83">
        <f>+I113</f>
        <v>4905566</v>
      </c>
      <c r="P113" s="41" t="s">
        <v>852</v>
      </c>
      <c r="Q113" s="35" t="s">
        <v>853</v>
      </c>
      <c r="R113" s="35" t="s">
        <v>853</v>
      </c>
      <c r="S113" s="35" t="s">
        <v>853</v>
      </c>
      <c r="T113" s="149" t="s">
        <v>854</v>
      </c>
      <c r="U113" s="35" t="s">
        <v>17</v>
      </c>
      <c r="V113" s="83">
        <v>4876535</v>
      </c>
      <c r="W113" s="89"/>
      <c r="X113" s="84">
        <f t="shared" si="41"/>
        <v>4876535</v>
      </c>
      <c r="Y113" s="83">
        <v>2309477.46</v>
      </c>
      <c r="Z113" s="83">
        <v>0</v>
      </c>
      <c r="AA113" s="85">
        <f t="shared" si="42"/>
        <v>2309477.46</v>
      </c>
      <c r="AB113" s="86">
        <f t="shared" ref="AB113:AB132" si="45">AA113/O113</f>
        <v>0.47078715483595573</v>
      </c>
      <c r="AC113" s="90">
        <v>-29031</v>
      </c>
      <c r="AD113" s="85">
        <f t="shared" si="44"/>
        <v>4876535</v>
      </c>
      <c r="AE113" s="42">
        <f t="shared" si="39"/>
        <v>0</v>
      </c>
      <c r="AF113" s="88">
        <f t="shared" si="38"/>
        <v>0</v>
      </c>
      <c r="AG113" s="45" t="s">
        <v>121</v>
      </c>
      <c r="AH113" s="35">
        <v>17</v>
      </c>
      <c r="AI113" s="35" t="s">
        <v>21</v>
      </c>
      <c r="AJ113" s="35" t="s">
        <v>15</v>
      </c>
      <c r="AK113" s="35" t="s">
        <v>25</v>
      </c>
      <c r="AL113" s="35" t="s">
        <v>232</v>
      </c>
      <c r="AM113" s="35" t="s">
        <v>686</v>
      </c>
      <c r="AN113" s="42">
        <f t="shared" si="43"/>
        <v>2567057.54</v>
      </c>
    </row>
    <row r="114" spans="1:42" s="37" customFormat="1" ht="115.2" x14ac:dyDescent="0.3">
      <c r="A114" s="37">
        <v>409</v>
      </c>
      <c r="B114" s="164" t="s">
        <v>855</v>
      </c>
      <c r="C114" s="54" t="s">
        <v>856</v>
      </c>
      <c r="D114" s="35">
        <v>3146</v>
      </c>
      <c r="E114" s="38">
        <v>45474</v>
      </c>
      <c r="F114" s="38">
        <v>46446</v>
      </c>
      <c r="G114" s="39">
        <f t="shared" ref="G114:G138" si="46">F114-E114</f>
        <v>972</v>
      </c>
      <c r="H114" s="40">
        <f t="shared" si="40"/>
        <v>0.43930041152263377</v>
      </c>
      <c r="I114" s="41">
        <v>1499500</v>
      </c>
      <c r="J114" s="41">
        <v>-232771</v>
      </c>
      <c r="K114" s="41">
        <v>0</v>
      </c>
      <c r="L114" s="42">
        <f t="shared" ref="L114:L138" si="47">I114+J114+K114</f>
        <v>1266729</v>
      </c>
      <c r="M114" s="41">
        <v>1266729</v>
      </c>
      <c r="N114" s="42">
        <f t="shared" ref="N114:N138" si="48">L114-M114</f>
        <v>0</v>
      </c>
      <c r="O114" s="83">
        <v>1499500</v>
      </c>
      <c r="P114" s="41" t="s">
        <v>857</v>
      </c>
      <c r="Q114" s="35" t="s">
        <v>858</v>
      </c>
      <c r="R114" s="35" t="s">
        <v>859</v>
      </c>
      <c r="S114" s="35" t="s">
        <v>825</v>
      </c>
      <c r="T114" s="149" t="s">
        <v>860</v>
      </c>
      <c r="U114" s="35" t="s">
        <v>22</v>
      </c>
      <c r="V114" s="83">
        <v>1499500</v>
      </c>
      <c r="W114" s="83"/>
      <c r="X114" s="84">
        <f t="shared" si="41"/>
        <v>1499500</v>
      </c>
      <c r="Y114" s="83">
        <v>724109.48</v>
      </c>
      <c r="Z114" s="83">
        <v>153862.28</v>
      </c>
      <c r="AA114" s="85">
        <f t="shared" si="42"/>
        <v>877971.76</v>
      </c>
      <c r="AB114" s="86">
        <f t="shared" si="45"/>
        <v>0.585509676558853</v>
      </c>
      <c r="AC114" s="90">
        <v>-232771</v>
      </c>
      <c r="AD114" s="85">
        <f t="shared" si="44"/>
        <v>1266729</v>
      </c>
      <c r="AE114" s="42">
        <f t="shared" si="39"/>
        <v>0</v>
      </c>
      <c r="AF114" s="88">
        <f t="shared" si="38"/>
        <v>-232771</v>
      </c>
      <c r="AG114" s="45" t="s">
        <v>121</v>
      </c>
      <c r="AH114" s="35" t="s">
        <v>21</v>
      </c>
      <c r="AI114" s="35" t="s">
        <v>21</v>
      </c>
      <c r="AJ114" s="35" t="s">
        <v>15</v>
      </c>
      <c r="AK114" s="35" t="s">
        <v>25</v>
      </c>
      <c r="AL114" s="35" t="s">
        <v>149</v>
      </c>
      <c r="AM114" s="97"/>
      <c r="AN114" s="42">
        <f t="shared" si="43"/>
        <v>388757.24</v>
      </c>
      <c r="AO114" s="113"/>
      <c r="AP114" s="34"/>
    </row>
    <row r="115" spans="1:42" s="37" customFormat="1" ht="144" x14ac:dyDescent="0.3">
      <c r="A115" s="37">
        <v>409</v>
      </c>
      <c r="B115" s="164" t="s">
        <v>861</v>
      </c>
      <c r="C115" s="35" t="s">
        <v>862</v>
      </c>
      <c r="D115" s="35">
        <v>3146</v>
      </c>
      <c r="E115" s="38">
        <v>44791</v>
      </c>
      <c r="F115" s="38">
        <v>46387</v>
      </c>
      <c r="G115" s="39">
        <f t="shared" si="46"/>
        <v>1596</v>
      </c>
      <c r="H115" s="40">
        <f t="shared" si="40"/>
        <v>0.69548872180451127</v>
      </c>
      <c r="I115" s="41">
        <v>14650032</v>
      </c>
      <c r="J115" s="41">
        <v>-348</v>
      </c>
      <c r="K115" s="41">
        <v>1718114.7</v>
      </c>
      <c r="L115" s="42">
        <f t="shared" si="47"/>
        <v>16367798.699999999</v>
      </c>
      <c r="M115" s="41">
        <v>14650032</v>
      </c>
      <c r="N115" s="42">
        <f t="shared" si="48"/>
        <v>1717766.6999999993</v>
      </c>
      <c r="O115" s="83">
        <v>14650032</v>
      </c>
      <c r="P115" s="41" t="s">
        <v>863</v>
      </c>
      <c r="Q115" s="35" t="s">
        <v>864</v>
      </c>
      <c r="R115" s="35" t="s">
        <v>865</v>
      </c>
      <c r="S115" s="35" t="s">
        <v>865</v>
      </c>
      <c r="T115" s="149" t="s">
        <v>866</v>
      </c>
      <c r="U115" s="35" t="s">
        <v>17</v>
      </c>
      <c r="V115" s="161">
        <v>14650032</v>
      </c>
      <c r="W115" s="89"/>
      <c r="X115" s="84">
        <f t="shared" si="41"/>
        <v>14650032</v>
      </c>
      <c r="Y115" s="83">
        <v>6934444.3399999999</v>
      </c>
      <c r="Z115" s="83">
        <v>0</v>
      </c>
      <c r="AA115" s="85">
        <f t="shared" si="42"/>
        <v>6934444.3399999999</v>
      </c>
      <c r="AB115" s="86">
        <f t="shared" si="45"/>
        <v>0.4733398766637506</v>
      </c>
      <c r="AC115" s="90">
        <v>-5000000</v>
      </c>
      <c r="AD115" s="85">
        <f t="shared" si="44"/>
        <v>9650032</v>
      </c>
      <c r="AE115" s="42">
        <f t="shared" si="39"/>
        <v>5000000</v>
      </c>
      <c r="AF115" s="88">
        <f t="shared" si="38"/>
        <v>-5000000</v>
      </c>
      <c r="AG115" s="45" t="s">
        <v>121</v>
      </c>
      <c r="AH115" s="35">
        <v>101</v>
      </c>
      <c r="AI115" s="35" t="s">
        <v>21</v>
      </c>
      <c r="AJ115" s="35" t="s">
        <v>15</v>
      </c>
      <c r="AK115" s="35" t="s">
        <v>25</v>
      </c>
      <c r="AL115" s="35" t="s">
        <v>232</v>
      </c>
      <c r="AM115" s="35" t="s">
        <v>686</v>
      </c>
      <c r="AN115" s="42">
        <f t="shared" si="43"/>
        <v>2715587.66</v>
      </c>
    </row>
    <row r="116" spans="1:42" s="37" customFormat="1" ht="158.4" x14ac:dyDescent="0.3">
      <c r="A116" s="37">
        <v>409</v>
      </c>
      <c r="B116" s="164" t="s">
        <v>867</v>
      </c>
      <c r="C116" s="35" t="s">
        <v>868</v>
      </c>
      <c r="D116" s="35">
        <v>3147</v>
      </c>
      <c r="E116" s="38">
        <v>44791</v>
      </c>
      <c r="F116" s="38">
        <v>45838</v>
      </c>
      <c r="G116" s="39">
        <f t="shared" si="46"/>
        <v>1047</v>
      </c>
      <c r="H116" s="40">
        <f t="shared" si="40"/>
        <v>1</v>
      </c>
      <c r="I116" s="41">
        <v>686994</v>
      </c>
      <c r="J116" s="41">
        <v>0</v>
      </c>
      <c r="K116" s="41">
        <v>0</v>
      </c>
      <c r="L116" s="42">
        <f t="shared" si="47"/>
        <v>686994</v>
      </c>
      <c r="M116" s="41">
        <v>686994</v>
      </c>
      <c r="N116" s="42">
        <f t="shared" si="48"/>
        <v>0</v>
      </c>
      <c r="O116" s="83">
        <v>686994</v>
      </c>
      <c r="P116" s="41" t="s">
        <v>869</v>
      </c>
      <c r="Q116" s="35" t="s">
        <v>870</v>
      </c>
      <c r="R116" s="35" t="s">
        <v>871</v>
      </c>
      <c r="S116" s="35" t="s">
        <v>872</v>
      </c>
      <c r="T116" s="149" t="s">
        <v>873</v>
      </c>
      <c r="U116" s="35" t="s">
        <v>26</v>
      </c>
      <c r="V116" s="83">
        <v>686994</v>
      </c>
      <c r="W116" s="89"/>
      <c r="X116" s="84">
        <f t="shared" si="41"/>
        <v>686994</v>
      </c>
      <c r="Y116" s="83">
        <v>616566.73</v>
      </c>
      <c r="Z116" s="83"/>
      <c r="AA116" s="85">
        <f t="shared" si="42"/>
        <v>616566.73</v>
      </c>
      <c r="AB116" s="86">
        <f t="shared" si="45"/>
        <v>0.89748488341965138</v>
      </c>
      <c r="AC116" s="90">
        <v>0</v>
      </c>
      <c r="AD116" s="85">
        <f t="shared" si="44"/>
        <v>686994</v>
      </c>
      <c r="AE116" s="42">
        <f t="shared" si="39"/>
        <v>0</v>
      </c>
      <c r="AF116" s="88">
        <f t="shared" si="38"/>
        <v>0</v>
      </c>
      <c r="AG116" s="45" t="s">
        <v>121</v>
      </c>
      <c r="AH116" s="35">
        <v>71</v>
      </c>
      <c r="AI116" s="35" t="s">
        <v>21</v>
      </c>
      <c r="AJ116" s="35" t="s">
        <v>15</v>
      </c>
      <c r="AK116" s="35" t="s">
        <v>20</v>
      </c>
      <c r="AL116" s="35" t="s">
        <v>232</v>
      </c>
      <c r="AM116" s="37" t="s">
        <v>686</v>
      </c>
      <c r="AN116" s="42">
        <f t="shared" si="43"/>
        <v>70427.270000000019</v>
      </c>
    </row>
    <row r="117" spans="1:42" s="37" customFormat="1" ht="100.8" x14ac:dyDescent="0.3">
      <c r="A117" s="37">
        <v>409</v>
      </c>
      <c r="B117" s="164" t="s">
        <v>874</v>
      </c>
      <c r="C117" s="35" t="s">
        <v>875</v>
      </c>
      <c r="D117" s="35">
        <v>3147</v>
      </c>
      <c r="E117" s="38">
        <v>45108</v>
      </c>
      <c r="F117" s="38">
        <v>45838</v>
      </c>
      <c r="G117" s="39">
        <f t="shared" si="46"/>
        <v>730</v>
      </c>
      <c r="H117" s="40">
        <f t="shared" si="40"/>
        <v>1</v>
      </c>
      <c r="I117" s="41">
        <v>797698</v>
      </c>
      <c r="J117" s="41">
        <v>0</v>
      </c>
      <c r="K117" s="41">
        <v>0</v>
      </c>
      <c r="L117" s="42">
        <f t="shared" si="47"/>
        <v>797698</v>
      </c>
      <c r="M117" s="41">
        <v>797698</v>
      </c>
      <c r="N117" s="42">
        <f t="shared" si="48"/>
        <v>0</v>
      </c>
      <c r="O117" s="83">
        <v>797698</v>
      </c>
      <c r="P117" s="41" t="s">
        <v>876</v>
      </c>
      <c r="Q117" s="35" t="s">
        <v>877</v>
      </c>
      <c r="R117" s="35" t="s">
        <v>871</v>
      </c>
      <c r="S117" s="35" t="s">
        <v>871</v>
      </c>
      <c r="T117" s="149" t="s">
        <v>878</v>
      </c>
      <c r="U117" s="35" t="s">
        <v>26</v>
      </c>
      <c r="V117" s="83">
        <v>797698</v>
      </c>
      <c r="W117" s="89"/>
      <c r="X117" s="84">
        <f t="shared" si="41"/>
        <v>797698</v>
      </c>
      <c r="Y117" s="83">
        <v>797698</v>
      </c>
      <c r="Z117" s="83"/>
      <c r="AA117" s="85">
        <f t="shared" si="42"/>
        <v>797698</v>
      </c>
      <c r="AB117" s="86">
        <f t="shared" si="45"/>
        <v>1</v>
      </c>
      <c r="AC117" s="90">
        <v>0</v>
      </c>
      <c r="AD117" s="85">
        <f t="shared" si="44"/>
        <v>797698</v>
      </c>
      <c r="AE117" s="42">
        <f t="shared" si="39"/>
        <v>0</v>
      </c>
      <c r="AF117" s="88">
        <f t="shared" si="38"/>
        <v>0</v>
      </c>
      <c r="AG117" s="45" t="s">
        <v>121</v>
      </c>
      <c r="AH117" s="35" t="s">
        <v>21</v>
      </c>
      <c r="AI117" s="35" t="s">
        <v>21</v>
      </c>
      <c r="AJ117" s="35" t="s">
        <v>15</v>
      </c>
      <c r="AK117" s="35" t="s">
        <v>20</v>
      </c>
      <c r="AL117" s="35" t="s">
        <v>232</v>
      </c>
      <c r="AM117" s="37" t="s">
        <v>686</v>
      </c>
      <c r="AN117" s="42">
        <f t="shared" si="43"/>
        <v>0</v>
      </c>
      <c r="AO117" s="34"/>
    </row>
    <row r="118" spans="1:42" s="37" customFormat="1" ht="129.6" x14ac:dyDescent="0.3">
      <c r="A118" s="37">
        <v>409</v>
      </c>
      <c r="B118" s="164" t="s">
        <v>879</v>
      </c>
      <c r="C118" s="35" t="s">
        <v>880</v>
      </c>
      <c r="D118" s="35">
        <v>3281</v>
      </c>
      <c r="E118" s="38">
        <v>44539</v>
      </c>
      <c r="F118" s="38">
        <v>45838</v>
      </c>
      <c r="G118" s="39">
        <f t="shared" si="46"/>
        <v>1299</v>
      </c>
      <c r="H118" s="40">
        <f t="shared" si="40"/>
        <v>1</v>
      </c>
      <c r="I118" s="41">
        <v>275909</v>
      </c>
      <c r="J118" s="41">
        <v>-232558.65</v>
      </c>
      <c r="K118" s="41"/>
      <c r="L118" s="42">
        <f t="shared" si="47"/>
        <v>43350.350000000006</v>
      </c>
      <c r="M118" s="41">
        <v>43350.35</v>
      </c>
      <c r="N118" s="42">
        <f t="shared" si="48"/>
        <v>0</v>
      </c>
      <c r="O118" s="83">
        <v>275909</v>
      </c>
      <c r="P118" s="45" t="s">
        <v>881</v>
      </c>
      <c r="Q118" s="91" t="s">
        <v>882</v>
      </c>
      <c r="R118" s="35" t="s">
        <v>883</v>
      </c>
      <c r="S118" s="35" t="s">
        <v>884</v>
      </c>
      <c r="T118" s="150" t="s">
        <v>885</v>
      </c>
      <c r="U118" s="35" t="s">
        <v>26</v>
      </c>
      <c r="V118" s="83">
        <v>43350.35</v>
      </c>
      <c r="W118" s="89"/>
      <c r="X118" s="84">
        <f t="shared" si="41"/>
        <v>43350.35</v>
      </c>
      <c r="Y118" s="83">
        <v>43350.35</v>
      </c>
      <c r="Z118" s="83"/>
      <c r="AA118" s="85">
        <f t="shared" si="42"/>
        <v>43350.35</v>
      </c>
      <c r="AB118" s="86">
        <f t="shared" si="45"/>
        <v>0.15711828900108368</v>
      </c>
      <c r="AC118" s="92">
        <v>-232558.65</v>
      </c>
      <c r="AD118" s="85">
        <f t="shared" si="44"/>
        <v>43350.350000000006</v>
      </c>
      <c r="AE118" s="42">
        <f t="shared" si="39"/>
        <v>0</v>
      </c>
      <c r="AF118" s="88">
        <f t="shared" si="38"/>
        <v>0</v>
      </c>
      <c r="AG118" s="45" t="s">
        <v>121</v>
      </c>
      <c r="AH118" s="35" t="s">
        <v>21</v>
      </c>
      <c r="AI118" s="35" t="s">
        <v>21</v>
      </c>
      <c r="AJ118" s="35" t="s">
        <v>15</v>
      </c>
      <c r="AK118" s="35" t="s">
        <v>584</v>
      </c>
      <c r="AL118" s="35" t="s">
        <v>232</v>
      </c>
      <c r="AM118" s="37" t="s">
        <v>686</v>
      </c>
      <c r="AN118" s="42">
        <f t="shared" si="43"/>
        <v>0</v>
      </c>
    </row>
    <row r="119" spans="1:42" s="37" customFormat="1" ht="129.6" x14ac:dyDescent="0.3">
      <c r="A119" s="37">
        <v>409</v>
      </c>
      <c r="B119" s="164" t="s">
        <v>886</v>
      </c>
      <c r="C119" s="35" t="s">
        <v>880</v>
      </c>
      <c r="D119" s="35">
        <v>3281</v>
      </c>
      <c r="E119" s="38">
        <v>44743</v>
      </c>
      <c r="F119" s="38">
        <v>45473</v>
      </c>
      <c r="G119" s="39">
        <f t="shared" si="46"/>
        <v>730</v>
      </c>
      <c r="H119" s="40">
        <f t="shared" si="40"/>
        <v>1</v>
      </c>
      <c r="I119" s="41">
        <v>316849</v>
      </c>
      <c r="J119" s="41">
        <v>0</v>
      </c>
      <c r="K119" s="41">
        <v>0</v>
      </c>
      <c r="L119" s="42">
        <f t="shared" si="47"/>
        <v>316849</v>
      </c>
      <c r="M119" s="41">
        <v>316849</v>
      </c>
      <c r="N119" s="42">
        <f t="shared" si="48"/>
        <v>0</v>
      </c>
      <c r="O119" s="83">
        <v>316849</v>
      </c>
      <c r="P119" s="45" t="s">
        <v>887</v>
      </c>
      <c r="Q119" s="91" t="s">
        <v>882</v>
      </c>
      <c r="R119" s="35" t="s">
        <v>883</v>
      </c>
      <c r="S119" s="35" t="s">
        <v>884</v>
      </c>
      <c r="T119" s="149" t="s">
        <v>888</v>
      </c>
      <c r="U119" s="35" t="s">
        <v>26</v>
      </c>
      <c r="V119" s="83">
        <v>316849</v>
      </c>
      <c r="W119" s="89"/>
      <c r="X119" s="84">
        <f t="shared" si="41"/>
        <v>316849</v>
      </c>
      <c r="Y119" s="83">
        <v>316849</v>
      </c>
      <c r="Z119" s="83"/>
      <c r="AA119" s="85">
        <f t="shared" si="42"/>
        <v>316849</v>
      </c>
      <c r="AB119" s="86">
        <f t="shared" si="45"/>
        <v>1</v>
      </c>
      <c r="AC119" s="90"/>
      <c r="AD119" s="85">
        <f t="shared" si="44"/>
        <v>316849</v>
      </c>
      <c r="AE119" s="42">
        <f t="shared" si="39"/>
        <v>0</v>
      </c>
      <c r="AF119" s="88">
        <f t="shared" si="38"/>
        <v>0</v>
      </c>
      <c r="AG119" s="45" t="s">
        <v>121</v>
      </c>
      <c r="AH119" s="35" t="s">
        <v>21</v>
      </c>
      <c r="AI119" s="35" t="s">
        <v>21</v>
      </c>
      <c r="AJ119" s="35" t="s">
        <v>15</v>
      </c>
      <c r="AK119" s="35" t="s">
        <v>584</v>
      </c>
      <c r="AL119" s="35" t="s">
        <v>149</v>
      </c>
      <c r="AM119" s="37" t="s">
        <v>686</v>
      </c>
      <c r="AN119" s="42">
        <f t="shared" si="43"/>
        <v>0</v>
      </c>
    </row>
    <row r="120" spans="1:42" s="37" customFormat="1" ht="115.2" x14ac:dyDescent="0.3">
      <c r="A120" s="37">
        <v>409</v>
      </c>
      <c r="B120" s="164" t="s">
        <v>889</v>
      </c>
      <c r="C120" s="35" t="s">
        <v>890</v>
      </c>
      <c r="D120" s="35">
        <v>3281</v>
      </c>
      <c r="E120" s="38">
        <v>44854</v>
      </c>
      <c r="F120" s="38">
        <v>45838</v>
      </c>
      <c r="G120" s="39">
        <f t="shared" si="46"/>
        <v>984</v>
      </c>
      <c r="H120" s="40">
        <f t="shared" si="40"/>
        <v>1</v>
      </c>
      <c r="I120" s="41">
        <v>593014</v>
      </c>
      <c r="J120" s="41">
        <v>-255308</v>
      </c>
      <c r="K120" s="41"/>
      <c r="L120" s="42">
        <f t="shared" si="47"/>
        <v>337706</v>
      </c>
      <c r="M120" s="41">
        <f>12706+325000</f>
        <v>337706</v>
      </c>
      <c r="N120" s="42">
        <f t="shared" si="48"/>
        <v>0</v>
      </c>
      <c r="O120" s="83">
        <v>593014</v>
      </c>
      <c r="P120" s="45" t="s">
        <v>891</v>
      </c>
      <c r="Q120" s="35" t="s">
        <v>892</v>
      </c>
      <c r="R120" s="35" t="s">
        <v>893</v>
      </c>
      <c r="S120" s="35" t="s">
        <v>894</v>
      </c>
      <c r="T120" s="149" t="s">
        <v>895</v>
      </c>
      <c r="U120" s="35" t="s">
        <v>26</v>
      </c>
      <c r="V120" s="83">
        <v>337706</v>
      </c>
      <c r="W120" s="89"/>
      <c r="X120" s="84">
        <f t="shared" si="41"/>
        <v>337706</v>
      </c>
      <c r="Y120" s="83">
        <v>12705.58</v>
      </c>
      <c r="Z120" s="83"/>
      <c r="AA120" s="85">
        <f t="shared" si="42"/>
        <v>12705.58</v>
      </c>
      <c r="AB120" s="86">
        <f t="shared" si="45"/>
        <v>2.1425430091026518E-2</v>
      </c>
      <c r="AC120" s="41">
        <v>-255308</v>
      </c>
      <c r="AD120" s="85">
        <f t="shared" si="44"/>
        <v>337706</v>
      </c>
      <c r="AE120" s="42">
        <f t="shared" si="39"/>
        <v>0</v>
      </c>
      <c r="AF120" s="88">
        <f t="shared" si="38"/>
        <v>0</v>
      </c>
      <c r="AG120" s="41" t="s">
        <v>896</v>
      </c>
      <c r="AH120" s="35" t="s">
        <v>21</v>
      </c>
      <c r="AI120" s="35" t="s">
        <v>21</v>
      </c>
      <c r="AJ120" s="35" t="s">
        <v>15</v>
      </c>
      <c r="AK120" s="35" t="s">
        <v>584</v>
      </c>
      <c r="AL120" s="35" t="s">
        <v>232</v>
      </c>
      <c r="AM120" s="35" t="s">
        <v>897</v>
      </c>
      <c r="AN120" s="42">
        <f t="shared" si="43"/>
        <v>325000.42</v>
      </c>
    </row>
    <row r="121" spans="1:42" s="37" customFormat="1" ht="172.8" x14ac:dyDescent="0.3">
      <c r="A121" s="37">
        <v>409</v>
      </c>
      <c r="B121" s="164" t="s">
        <v>898</v>
      </c>
      <c r="C121" s="35" t="s">
        <v>899</v>
      </c>
      <c r="D121" s="35">
        <v>3281</v>
      </c>
      <c r="E121" s="38">
        <v>45108</v>
      </c>
      <c r="F121" s="38">
        <v>45838</v>
      </c>
      <c r="G121" s="39">
        <f t="shared" si="46"/>
        <v>730</v>
      </c>
      <c r="H121" s="40">
        <f t="shared" si="40"/>
        <v>1</v>
      </c>
      <c r="I121" s="41">
        <v>923073</v>
      </c>
      <c r="J121" s="41">
        <v>-733715</v>
      </c>
      <c r="K121" s="41"/>
      <c r="L121" s="42">
        <f t="shared" si="47"/>
        <v>189358</v>
      </c>
      <c r="M121" s="41">
        <v>189358</v>
      </c>
      <c r="N121" s="42">
        <f t="shared" si="48"/>
        <v>0</v>
      </c>
      <c r="O121" s="83">
        <v>923073</v>
      </c>
      <c r="P121" s="41" t="s">
        <v>900</v>
      </c>
      <c r="Q121" s="35" t="s">
        <v>901</v>
      </c>
      <c r="R121" s="35" t="s">
        <v>894</v>
      </c>
      <c r="S121" s="35" t="s">
        <v>894</v>
      </c>
      <c r="T121" s="149" t="s">
        <v>902</v>
      </c>
      <c r="U121" s="35" t="s">
        <v>26</v>
      </c>
      <c r="V121" s="83">
        <v>189358</v>
      </c>
      <c r="W121" s="89"/>
      <c r="X121" s="84">
        <f t="shared" si="41"/>
        <v>189358</v>
      </c>
      <c r="Y121" s="83">
        <v>166862.41999999998</v>
      </c>
      <c r="Z121" s="83"/>
      <c r="AA121" s="85">
        <f t="shared" si="42"/>
        <v>166862.41999999998</v>
      </c>
      <c r="AB121" s="86">
        <f t="shared" si="45"/>
        <v>0.18076838993232386</v>
      </c>
      <c r="AC121" s="41">
        <v>-733715</v>
      </c>
      <c r="AD121" s="85">
        <f t="shared" si="44"/>
        <v>189358</v>
      </c>
      <c r="AE121" s="42">
        <f t="shared" si="39"/>
        <v>0</v>
      </c>
      <c r="AF121" s="88">
        <f t="shared" si="38"/>
        <v>0</v>
      </c>
      <c r="AG121" s="41" t="s">
        <v>896</v>
      </c>
      <c r="AH121" s="35" t="s">
        <v>21</v>
      </c>
      <c r="AI121" s="35" t="s">
        <v>21</v>
      </c>
      <c r="AJ121" s="35" t="s">
        <v>15</v>
      </c>
      <c r="AK121" s="35" t="s">
        <v>584</v>
      </c>
      <c r="AL121" s="35" t="s">
        <v>232</v>
      </c>
      <c r="AM121" s="35" t="s">
        <v>903</v>
      </c>
      <c r="AN121" s="42">
        <f t="shared" si="43"/>
        <v>22495.580000000016</v>
      </c>
      <c r="AO121" s="48">
        <f>+AN121+AN120</f>
        <v>347496</v>
      </c>
    </row>
    <row r="122" spans="1:42" s="37" customFormat="1" ht="158.4" x14ac:dyDescent="0.3">
      <c r="A122" s="37">
        <v>409</v>
      </c>
      <c r="B122" s="164" t="s">
        <v>904</v>
      </c>
      <c r="C122" s="35" t="s">
        <v>905</v>
      </c>
      <c r="D122" s="35">
        <v>3281</v>
      </c>
      <c r="E122" s="38">
        <v>44791</v>
      </c>
      <c r="F122" s="38">
        <v>45473</v>
      </c>
      <c r="G122" s="39">
        <f t="shared" si="46"/>
        <v>682</v>
      </c>
      <c r="H122" s="40">
        <f t="shared" si="40"/>
        <v>1</v>
      </c>
      <c r="I122" s="83">
        <f>361982+446313</f>
        <v>808295</v>
      </c>
      <c r="J122" s="41">
        <f>-581999-9716</f>
        <v>-591715</v>
      </c>
      <c r="K122" s="41"/>
      <c r="L122" s="42">
        <f t="shared" si="47"/>
        <v>216580</v>
      </c>
      <c r="M122" s="41">
        <v>216580</v>
      </c>
      <c r="N122" s="42">
        <f t="shared" si="48"/>
        <v>0</v>
      </c>
      <c r="O122" s="83">
        <f>361982+446313</f>
        <v>808295</v>
      </c>
      <c r="P122" s="41" t="s">
        <v>906</v>
      </c>
      <c r="Q122" s="35" t="s">
        <v>907</v>
      </c>
      <c r="R122" s="35" t="s">
        <v>883</v>
      </c>
      <c r="S122" s="35" t="s">
        <v>884</v>
      </c>
      <c r="T122" s="149" t="s">
        <v>908</v>
      </c>
      <c r="U122" s="35" t="s">
        <v>26</v>
      </c>
      <c r="V122" s="83">
        <v>182957.14</v>
      </c>
      <c r="W122" s="89"/>
      <c r="X122" s="84">
        <f t="shared" si="41"/>
        <v>182957.14</v>
      </c>
      <c r="Y122" s="83">
        <v>182957.14</v>
      </c>
      <c r="Z122" s="83"/>
      <c r="AA122" s="85">
        <f t="shared" si="42"/>
        <v>182957.14</v>
      </c>
      <c r="AB122" s="86">
        <f t="shared" si="45"/>
        <v>0.22634946399519978</v>
      </c>
      <c r="AC122" s="41">
        <f>-581999-9716</f>
        <v>-591715</v>
      </c>
      <c r="AD122" s="85">
        <f t="shared" si="44"/>
        <v>216580</v>
      </c>
      <c r="AE122" s="42">
        <f t="shared" si="39"/>
        <v>0</v>
      </c>
      <c r="AF122" s="88">
        <f t="shared" si="38"/>
        <v>33622.859999999986</v>
      </c>
      <c r="AG122" s="41" t="s">
        <v>896</v>
      </c>
      <c r="AH122" s="35" t="s">
        <v>21</v>
      </c>
      <c r="AI122" s="35" t="s">
        <v>21</v>
      </c>
      <c r="AJ122" s="35" t="s">
        <v>15</v>
      </c>
      <c r="AK122" s="35" t="s">
        <v>584</v>
      </c>
      <c r="AL122" s="35" t="s">
        <v>232</v>
      </c>
      <c r="AM122" s="35" t="s">
        <v>909</v>
      </c>
      <c r="AN122" s="42">
        <f t="shared" si="43"/>
        <v>33622.859999999986</v>
      </c>
    </row>
    <row r="123" spans="1:42" s="37" customFormat="1" ht="201.6" x14ac:dyDescent="0.3">
      <c r="A123" s="37">
        <v>409</v>
      </c>
      <c r="B123" s="164" t="s">
        <v>910</v>
      </c>
      <c r="C123" s="35" t="s">
        <v>911</v>
      </c>
      <c r="D123" s="35">
        <v>3281</v>
      </c>
      <c r="E123" s="38">
        <v>44791</v>
      </c>
      <c r="F123" s="38">
        <v>45473</v>
      </c>
      <c r="G123" s="39">
        <f t="shared" si="46"/>
        <v>682</v>
      </c>
      <c r="H123" s="40">
        <f t="shared" si="40"/>
        <v>1</v>
      </c>
      <c r="I123" s="41">
        <f>241020+186468</f>
        <v>427488</v>
      </c>
      <c r="J123" s="41">
        <f>-184589-160586-20006</f>
        <v>-365181</v>
      </c>
      <c r="K123" s="41"/>
      <c r="L123" s="42">
        <f t="shared" si="47"/>
        <v>62307</v>
      </c>
      <c r="M123" s="41">
        <v>62307</v>
      </c>
      <c r="N123" s="42">
        <f t="shared" si="48"/>
        <v>0</v>
      </c>
      <c r="O123" s="83">
        <f>186468+241020</f>
        <v>427488</v>
      </c>
      <c r="P123" s="41" t="s">
        <v>912</v>
      </c>
      <c r="Q123" s="35" t="s">
        <v>913</v>
      </c>
      <c r="R123" s="35" t="s">
        <v>914</v>
      </c>
      <c r="S123" s="35" t="s">
        <v>915</v>
      </c>
      <c r="T123" s="149" t="s">
        <v>908</v>
      </c>
      <c r="U123" s="35" t="s">
        <v>26</v>
      </c>
      <c r="V123" s="83">
        <v>46972.06</v>
      </c>
      <c r="W123" s="89"/>
      <c r="X123" s="84">
        <f t="shared" si="41"/>
        <v>46972.06</v>
      </c>
      <c r="Y123" s="83">
        <v>46972.06</v>
      </c>
      <c r="Z123" s="83"/>
      <c r="AA123" s="85">
        <f t="shared" si="42"/>
        <v>46972.06</v>
      </c>
      <c r="AB123" s="86">
        <f t="shared" si="45"/>
        <v>0.10987924807246051</v>
      </c>
      <c r="AC123" s="41">
        <f>-184589-160586-20006</f>
        <v>-365181</v>
      </c>
      <c r="AD123" s="85">
        <f t="shared" si="44"/>
        <v>62307</v>
      </c>
      <c r="AE123" s="42">
        <f t="shared" si="39"/>
        <v>0</v>
      </c>
      <c r="AF123" s="88">
        <f t="shared" ref="AF123:AF138" si="49">AD123-X123</f>
        <v>15334.940000000002</v>
      </c>
      <c r="AG123" s="41" t="s">
        <v>896</v>
      </c>
      <c r="AH123" s="35" t="s">
        <v>21</v>
      </c>
      <c r="AI123" s="35" t="s">
        <v>21</v>
      </c>
      <c r="AJ123" s="35" t="s">
        <v>15</v>
      </c>
      <c r="AK123" s="35" t="s">
        <v>584</v>
      </c>
      <c r="AL123" s="35" t="s">
        <v>149</v>
      </c>
      <c r="AM123" s="35" t="s">
        <v>909</v>
      </c>
      <c r="AN123" s="42">
        <f t="shared" si="43"/>
        <v>15334.940000000002</v>
      </c>
    </row>
    <row r="124" spans="1:42" s="37" customFormat="1" ht="273.60000000000002" x14ac:dyDescent="0.3">
      <c r="A124" s="37">
        <v>409</v>
      </c>
      <c r="B124" s="164" t="s">
        <v>916</v>
      </c>
      <c r="C124" s="163" t="s">
        <v>917</v>
      </c>
      <c r="D124" s="35">
        <v>3646</v>
      </c>
      <c r="E124" s="38">
        <v>44659</v>
      </c>
      <c r="F124" s="38">
        <v>46387</v>
      </c>
      <c r="G124" s="39">
        <f t="shared" si="46"/>
        <v>1728</v>
      </c>
      <c r="H124" s="40">
        <f t="shared" si="40"/>
        <v>0.71875</v>
      </c>
      <c r="I124" s="41">
        <v>916718</v>
      </c>
      <c r="J124" s="41">
        <v>0</v>
      </c>
      <c r="K124" s="41">
        <v>0</v>
      </c>
      <c r="L124" s="42">
        <f t="shared" si="47"/>
        <v>916718</v>
      </c>
      <c r="M124" s="41">
        <v>916718</v>
      </c>
      <c r="N124" s="42">
        <f t="shared" si="48"/>
        <v>0</v>
      </c>
      <c r="O124" s="83">
        <v>916718</v>
      </c>
      <c r="P124" s="41" t="s">
        <v>918</v>
      </c>
      <c r="Q124" s="35" t="s">
        <v>919</v>
      </c>
      <c r="R124" s="35" t="s">
        <v>920</v>
      </c>
      <c r="S124" s="35" t="s">
        <v>921</v>
      </c>
      <c r="T124" s="1" t="s">
        <v>922</v>
      </c>
      <c r="U124" s="35" t="s">
        <v>17</v>
      </c>
      <c r="V124" s="83">
        <v>916718</v>
      </c>
      <c r="W124" s="89"/>
      <c r="X124" s="84">
        <f t="shared" si="41"/>
        <v>916718</v>
      </c>
      <c r="Y124" s="83">
        <v>456583.79</v>
      </c>
      <c r="Z124" s="83">
        <v>0</v>
      </c>
      <c r="AA124" s="85">
        <f t="shared" si="42"/>
        <v>456583.79</v>
      </c>
      <c r="AB124" s="86">
        <f t="shared" si="45"/>
        <v>0.49806351571584717</v>
      </c>
      <c r="AC124" s="90">
        <v>0</v>
      </c>
      <c r="AD124" s="85">
        <f t="shared" si="44"/>
        <v>916718</v>
      </c>
      <c r="AE124" s="42">
        <f t="shared" si="39"/>
        <v>0</v>
      </c>
      <c r="AF124" s="88">
        <f t="shared" si="49"/>
        <v>0</v>
      </c>
      <c r="AG124" s="41" t="s">
        <v>923</v>
      </c>
      <c r="AH124" s="35" t="s">
        <v>21</v>
      </c>
      <c r="AI124" s="35" t="s">
        <v>21</v>
      </c>
      <c r="AJ124" s="35" t="s">
        <v>8</v>
      </c>
      <c r="AK124" s="35" t="s">
        <v>224</v>
      </c>
      <c r="AL124" s="35" t="s">
        <v>122</v>
      </c>
      <c r="AM124" s="37" t="s">
        <v>686</v>
      </c>
      <c r="AN124" s="42">
        <f t="shared" si="43"/>
        <v>460134.21</v>
      </c>
    </row>
    <row r="125" spans="1:42" s="37" customFormat="1" ht="144" x14ac:dyDescent="0.3">
      <c r="A125" s="37">
        <v>409</v>
      </c>
      <c r="B125" s="164" t="s">
        <v>924</v>
      </c>
      <c r="C125" s="163" t="s">
        <v>925</v>
      </c>
      <c r="D125" s="35">
        <v>3646</v>
      </c>
      <c r="E125" s="38">
        <v>44781</v>
      </c>
      <c r="F125" s="38">
        <v>45838</v>
      </c>
      <c r="G125" s="39">
        <f t="shared" si="46"/>
        <v>1057</v>
      </c>
      <c r="H125" s="40">
        <f t="shared" si="40"/>
        <v>1.0596026490066226</v>
      </c>
      <c r="I125" s="41">
        <v>5072061</v>
      </c>
      <c r="J125" s="41">
        <v>0</v>
      </c>
      <c r="K125" s="41">
        <v>0</v>
      </c>
      <c r="L125" s="42">
        <f t="shared" si="47"/>
        <v>5072061</v>
      </c>
      <c r="M125" s="41">
        <v>5072061</v>
      </c>
      <c r="N125" s="42">
        <f t="shared" si="48"/>
        <v>0</v>
      </c>
      <c r="O125" s="83">
        <v>5072061</v>
      </c>
      <c r="P125" s="41" t="s">
        <v>926</v>
      </c>
      <c r="Q125" s="35" t="s">
        <v>927</v>
      </c>
      <c r="R125" s="35" t="s">
        <v>927</v>
      </c>
      <c r="S125" s="35" t="s">
        <v>927</v>
      </c>
      <c r="T125" s="150" t="s">
        <v>928</v>
      </c>
      <c r="U125" s="35" t="s">
        <v>17</v>
      </c>
      <c r="V125" s="83">
        <v>4176131.43</v>
      </c>
      <c r="W125" s="89"/>
      <c r="X125" s="84">
        <f t="shared" si="41"/>
        <v>4176131.43</v>
      </c>
      <c r="Y125" s="83">
        <v>1980925.43</v>
      </c>
      <c r="Z125" s="83">
        <v>0</v>
      </c>
      <c r="AA125" s="85">
        <f t="shared" si="42"/>
        <v>1980925.43</v>
      </c>
      <c r="AB125" s="86">
        <f t="shared" si="45"/>
        <v>0.39055631034405935</v>
      </c>
      <c r="AC125" s="90">
        <v>0</v>
      </c>
      <c r="AD125" s="85">
        <f t="shared" si="44"/>
        <v>5072061</v>
      </c>
      <c r="AE125" s="42">
        <f t="shared" si="39"/>
        <v>0</v>
      </c>
      <c r="AF125" s="88">
        <f t="shared" si="49"/>
        <v>895929.56999999983</v>
      </c>
      <c r="AG125" s="41" t="s">
        <v>923</v>
      </c>
      <c r="AH125" s="35" t="s">
        <v>21</v>
      </c>
      <c r="AI125" s="35" t="s">
        <v>21</v>
      </c>
      <c r="AJ125" s="35" t="s">
        <v>8</v>
      </c>
      <c r="AK125" s="35" t="s">
        <v>224</v>
      </c>
      <c r="AL125" s="35" t="s">
        <v>122</v>
      </c>
      <c r="AM125" s="37" t="s">
        <v>686</v>
      </c>
      <c r="AN125" s="42">
        <f t="shared" si="43"/>
        <v>3091135.5700000003</v>
      </c>
    </row>
    <row r="126" spans="1:42" s="37" customFormat="1" ht="129.6" x14ac:dyDescent="0.3">
      <c r="A126" s="37">
        <v>409</v>
      </c>
      <c r="B126" s="164" t="s">
        <v>929</v>
      </c>
      <c r="C126" s="35" t="s">
        <v>930</v>
      </c>
      <c r="D126" s="35">
        <v>3646</v>
      </c>
      <c r="E126" s="38">
        <v>44539</v>
      </c>
      <c r="F126" s="38">
        <v>44742</v>
      </c>
      <c r="G126" s="39">
        <f t="shared" si="46"/>
        <v>203</v>
      </c>
      <c r="H126" s="40">
        <f t="shared" si="40"/>
        <v>1</v>
      </c>
      <c r="I126" s="41">
        <v>387386</v>
      </c>
      <c r="J126" s="41">
        <v>-237066.34</v>
      </c>
      <c r="K126" s="41">
        <v>0</v>
      </c>
      <c r="L126" s="42">
        <f t="shared" si="47"/>
        <v>150319.66</v>
      </c>
      <c r="M126" s="41">
        <v>150319.66</v>
      </c>
      <c r="N126" s="42">
        <f t="shared" si="48"/>
        <v>0</v>
      </c>
      <c r="O126" s="83">
        <v>387386</v>
      </c>
      <c r="P126" s="45" t="s">
        <v>931</v>
      </c>
      <c r="Q126" s="91" t="s">
        <v>882</v>
      </c>
      <c r="R126" s="35" t="s">
        <v>883</v>
      </c>
      <c r="S126" s="35" t="s">
        <v>884</v>
      </c>
      <c r="T126" s="149" t="s">
        <v>888</v>
      </c>
      <c r="U126" s="35" t="s">
        <v>26</v>
      </c>
      <c r="V126" s="83">
        <v>150319.66</v>
      </c>
      <c r="W126" s="89"/>
      <c r="X126" s="84">
        <f t="shared" si="41"/>
        <v>150319.66</v>
      </c>
      <c r="Y126" s="83">
        <v>150319.66</v>
      </c>
      <c r="Z126" s="83"/>
      <c r="AA126" s="85">
        <f t="shared" si="42"/>
        <v>150319.66</v>
      </c>
      <c r="AB126" s="86">
        <f t="shared" si="45"/>
        <v>0.38803586087261804</v>
      </c>
      <c r="AC126" s="92">
        <v>-237066.34</v>
      </c>
      <c r="AD126" s="85">
        <f t="shared" si="44"/>
        <v>150319.66</v>
      </c>
      <c r="AE126" s="42">
        <f t="shared" ref="AE126:AE138" si="50">M126-AD126</f>
        <v>0</v>
      </c>
      <c r="AF126" s="88">
        <f t="shared" si="49"/>
        <v>0</v>
      </c>
      <c r="AG126" s="45" t="s">
        <v>121</v>
      </c>
      <c r="AH126" s="35" t="s">
        <v>21</v>
      </c>
      <c r="AI126" s="35" t="s">
        <v>21</v>
      </c>
      <c r="AJ126" s="35" t="s">
        <v>15</v>
      </c>
      <c r="AK126" s="35" t="s">
        <v>224</v>
      </c>
      <c r="AL126" s="35" t="s">
        <v>149</v>
      </c>
      <c r="AM126" s="37" t="s">
        <v>686</v>
      </c>
      <c r="AN126" s="42">
        <f t="shared" si="43"/>
        <v>0</v>
      </c>
    </row>
    <row r="127" spans="1:42" s="37" customFormat="1" ht="129.6" x14ac:dyDescent="0.3">
      <c r="A127" s="37">
        <v>409</v>
      </c>
      <c r="B127" s="164" t="s">
        <v>932</v>
      </c>
      <c r="C127" s="35" t="s">
        <v>933</v>
      </c>
      <c r="D127" s="35">
        <v>3646</v>
      </c>
      <c r="E127" s="38">
        <v>45108</v>
      </c>
      <c r="F127" s="38">
        <v>45473</v>
      </c>
      <c r="G127" s="39">
        <f t="shared" si="46"/>
        <v>365</v>
      </c>
      <c r="H127" s="40">
        <f t="shared" si="40"/>
        <v>1</v>
      </c>
      <c r="I127" s="41">
        <v>444866</v>
      </c>
      <c r="J127" s="41">
        <v>-3101.92</v>
      </c>
      <c r="K127" s="41">
        <v>0</v>
      </c>
      <c r="L127" s="42">
        <f t="shared" si="47"/>
        <v>441764.08</v>
      </c>
      <c r="M127" s="41">
        <v>441764.08</v>
      </c>
      <c r="N127" s="42">
        <f t="shared" si="48"/>
        <v>0</v>
      </c>
      <c r="O127" s="83">
        <v>444866</v>
      </c>
      <c r="P127" s="45" t="s">
        <v>934</v>
      </c>
      <c r="Q127" s="91" t="s">
        <v>882</v>
      </c>
      <c r="R127" s="35" t="s">
        <v>883</v>
      </c>
      <c r="S127" s="35" t="s">
        <v>884</v>
      </c>
      <c r="T127" s="149" t="s">
        <v>888</v>
      </c>
      <c r="U127" s="35" t="s">
        <v>26</v>
      </c>
      <c r="V127" s="83">
        <v>441764.08</v>
      </c>
      <c r="W127" s="89"/>
      <c r="X127" s="84">
        <f t="shared" si="41"/>
        <v>441764.08</v>
      </c>
      <c r="Y127" s="83">
        <v>441764.08</v>
      </c>
      <c r="Z127" s="83"/>
      <c r="AA127" s="85">
        <f t="shared" si="42"/>
        <v>441764.08</v>
      </c>
      <c r="AB127" s="86">
        <f t="shared" si="45"/>
        <v>0.99302729361200903</v>
      </c>
      <c r="AC127" s="92">
        <v>-3101.92</v>
      </c>
      <c r="AD127" s="85">
        <f t="shared" si="44"/>
        <v>441764.08</v>
      </c>
      <c r="AE127" s="42">
        <f t="shared" si="50"/>
        <v>0</v>
      </c>
      <c r="AF127" s="88">
        <f t="shared" si="49"/>
        <v>0</v>
      </c>
      <c r="AG127" s="45" t="s">
        <v>121</v>
      </c>
      <c r="AH127" s="35" t="s">
        <v>21</v>
      </c>
      <c r="AI127" s="35" t="s">
        <v>21</v>
      </c>
      <c r="AJ127" s="35" t="s">
        <v>15</v>
      </c>
      <c r="AK127" s="35" t="s">
        <v>224</v>
      </c>
      <c r="AL127" s="35" t="s">
        <v>149</v>
      </c>
      <c r="AM127" s="37" t="s">
        <v>686</v>
      </c>
      <c r="AN127" s="42">
        <f t="shared" si="43"/>
        <v>0</v>
      </c>
    </row>
    <row r="128" spans="1:42" s="37" customFormat="1" ht="115.2" x14ac:dyDescent="0.3">
      <c r="A128" s="37">
        <v>409</v>
      </c>
      <c r="B128" s="164" t="s">
        <v>935</v>
      </c>
      <c r="C128" s="35" t="s">
        <v>936</v>
      </c>
      <c r="D128" s="35">
        <v>3646</v>
      </c>
      <c r="E128" s="38">
        <v>44854</v>
      </c>
      <c r="F128" s="38">
        <v>45107</v>
      </c>
      <c r="G128" s="39">
        <f t="shared" si="46"/>
        <v>253</v>
      </c>
      <c r="H128" s="40">
        <f t="shared" si="40"/>
        <v>1</v>
      </c>
      <c r="I128" s="41">
        <v>544022</v>
      </c>
      <c r="J128" s="41">
        <v>-492593</v>
      </c>
      <c r="K128" s="41">
        <v>0</v>
      </c>
      <c r="L128" s="42">
        <f t="shared" si="47"/>
        <v>51429</v>
      </c>
      <c r="M128" s="41">
        <f>12692+38737</f>
        <v>51429</v>
      </c>
      <c r="N128" s="42">
        <f t="shared" si="48"/>
        <v>0</v>
      </c>
      <c r="O128" s="83">
        <v>544022</v>
      </c>
      <c r="P128" s="45" t="s">
        <v>937</v>
      </c>
      <c r="Q128" s="35" t="s">
        <v>938</v>
      </c>
      <c r="R128" s="35" t="s">
        <v>939</v>
      </c>
      <c r="S128" s="35" t="s">
        <v>939</v>
      </c>
      <c r="T128" s="149" t="s">
        <v>940</v>
      </c>
      <c r="U128" s="35" t="s">
        <v>26</v>
      </c>
      <c r="V128" s="83">
        <v>51429</v>
      </c>
      <c r="W128" s="89"/>
      <c r="X128" s="84">
        <f t="shared" si="41"/>
        <v>51429</v>
      </c>
      <c r="Y128" s="83">
        <v>51429</v>
      </c>
      <c r="Z128" s="83"/>
      <c r="AA128" s="85">
        <f t="shared" si="42"/>
        <v>51429</v>
      </c>
      <c r="AB128" s="86">
        <f t="shared" si="45"/>
        <v>9.4534779843462216E-2</v>
      </c>
      <c r="AC128" s="41">
        <v>-492593</v>
      </c>
      <c r="AD128" s="85">
        <f t="shared" si="44"/>
        <v>51429</v>
      </c>
      <c r="AE128" s="42">
        <f t="shared" si="50"/>
        <v>0</v>
      </c>
      <c r="AF128" s="88">
        <f t="shared" si="49"/>
        <v>0</v>
      </c>
      <c r="AG128" s="41" t="s">
        <v>896</v>
      </c>
      <c r="AH128" s="35" t="s">
        <v>21</v>
      </c>
      <c r="AI128" s="35" t="s">
        <v>21</v>
      </c>
      <c r="AJ128" s="35" t="s">
        <v>15</v>
      </c>
      <c r="AK128" s="35" t="s">
        <v>224</v>
      </c>
      <c r="AL128" s="35" t="s">
        <v>232</v>
      </c>
      <c r="AM128" s="35" t="s">
        <v>686</v>
      </c>
      <c r="AN128" s="42">
        <f t="shared" si="43"/>
        <v>0</v>
      </c>
    </row>
    <row r="129" spans="1:42" s="37" customFormat="1" ht="115.2" x14ac:dyDescent="0.3">
      <c r="A129" s="37">
        <v>409</v>
      </c>
      <c r="B129" s="164" t="s">
        <v>941</v>
      </c>
      <c r="C129" s="35" t="s">
        <v>942</v>
      </c>
      <c r="D129" s="35">
        <v>3646</v>
      </c>
      <c r="E129" s="38">
        <v>44854</v>
      </c>
      <c r="F129" s="38">
        <v>45473</v>
      </c>
      <c r="G129" s="39">
        <f t="shared" si="46"/>
        <v>619</v>
      </c>
      <c r="H129" s="40">
        <f t="shared" si="40"/>
        <v>1</v>
      </c>
      <c r="I129" s="41">
        <v>771899</v>
      </c>
      <c r="J129" s="41">
        <f>-236717-88821</f>
        <v>-325538</v>
      </c>
      <c r="K129" s="41">
        <v>0</v>
      </c>
      <c r="L129" s="42">
        <f t="shared" si="47"/>
        <v>446361</v>
      </c>
      <c r="M129" s="41">
        <v>446361</v>
      </c>
      <c r="N129" s="42">
        <f t="shared" si="48"/>
        <v>0</v>
      </c>
      <c r="O129" s="83">
        <v>771899</v>
      </c>
      <c r="P129" s="41" t="s">
        <v>900</v>
      </c>
      <c r="Q129" s="35" t="s">
        <v>938</v>
      </c>
      <c r="R129" s="35" t="s">
        <v>939</v>
      </c>
      <c r="S129" s="35" t="s">
        <v>939</v>
      </c>
      <c r="T129" s="149" t="s">
        <v>908</v>
      </c>
      <c r="U129" s="35" t="s">
        <v>26</v>
      </c>
      <c r="V129" s="83">
        <v>403955.96</v>
      </c>
      <c r="W129" s="89"/>
      <c r="X129" s="84">
        <f t="shared" si="41"/>
        <v>403955.96</v>
      </c>
      <c r="Y129" s="83">
        <v>403955.96</v>
      </c>
      <c r="Z129" s="83"/>
      <c r="AA129" s="85">
        <f t="shared" si="42"/>
        <v>403955.96</v>
      </c>
      <c r="AB129" s="86">
        <f t="shared" si="45"/>
        <v>0.52332748196331391</v>
      </c>
      <c r="AC129" s="41">
        <f>-236717-88821</f>
        <v>-325538</v>
      </c>
      <c r="AD129" s="85">
        <f t="shared" si="44"/>
        <v>446361</v>
      </c>
      <c r="AE129" s="42">
        <f t="shared" si="50"/>
        <v>0</v>
      </c>
      <c r="AF129" s="88">
        <f t="shared" si="49"/>
        <v>42405.039999999979</v>
      </c>
      <c r="AG129" s="41" t="s">
        <v>896</v>
      </c>
      <c r="AH129" s="35" t="s">
        <v>21</v>
      </c>
      <c r="AI129" s="35" t="s">
        <v>21</v>
      </c>
      <c r="AJ129" s="35" t="s">
        <v>15</v>
      </c>
      <c r="AK129" s="35" t="s">
        <v>224</v>
      </c>
      <c r="AL129" s="35" t="s">
        <v>232</v>
      </c>
      <c r="AM129" s="35" t="s">
        <v>909</v>
      </c>
      <c r="AN129" s="42">
        <f t="shared" si="43"/>
        <v>42405.039999999979</v>
      </c>
    </row>
    <row r="130" spans="1:42" s="37" customFormat="1" ht="158.4" x14ac:dyDescent="0.3">
      <c r="A130" s="37">
        <v>409</v>
      </c>
      <c r="B130" s="164" t="s">
        <v>943</v>
      </c>
      <c r="C130" s="35" t="s">
        <v>944</v>
      </c>
      <c r="D130" s="35">
        <v>3646</v>
      </c>
      <c r="E130" s="38">
        <v>44791</v>
      </c>
      <c r="F130" s="38">
        <v>45473</v>
      </c>
      <c r="G130" s="39">
        <f t="shared" si="46"/>
        <v>682</v>
      </c>
      <c r="H130" s="40">
        <f t="shared" si="40"/>
        <v>1</v>
      </c>
      <c r="I130" s="41">
        <f>1208534+1481302</f>
        <v>2689836</v>
      </c>
      <c r="J130" s="41">
        <f>-1088907-362085-174615</f>
        <v>-1625607</v>
      </c>
      <c r="K130" s="41">
        <v>0</v>
      </c>
      <c r="L130" s="42">
        <f t="shared" si="47"/>
        <v>1064229</v>
      </c>
      <c r="M130" s="41">
        <v>1064229</v>
      </c>
      <c r="N130" s="42">
        <f t="shared" si="48"/>
        <v>0</v>
      </c>
      <c r="O130" s="83">
        <f>1208534+1481302</f>
        <v>2689836</v>
      </c>
      <c r="P130" s="41" t="s">
        <v>945</v>
      </c>
      <c r="Q130" s="35" t="s">
        <v>946</v>
      </c>
      <c r="R130" s="35" t="s">
        <v>883</v>
      </c>
      <c r="S130" s="35" t="s">
        <v>884</v>
      </c>
      <c r="T130" s="149" t="s">
        <v>908</v>
      </c>
      <c r="U130" s="35" t="s">
        <v>26</v>
      </c>
      <c r="V130" s="83">
        <v>1064229</v>
      </c>
      <c r="W130" s="89"/>
      <c r="X130" s="84">
        <f t="shared" si="41"/>
        <v>1064229</v>
      </c>
      <c r="Y130" s="83">
        <v>921013.70000000007</v>
      </c>
      <c r="Z130" s="83"/>
      <c r="AA130" s="85">
        <f t="shared" si="42"/>
        <v>921013.70000000007</v>
      </c>
      <c r="AB130" s="86">
        <f t="shared" si="45"/>
        <v>0.34240515035117386</v>
      </c>
      <c r="AC130" s="41">
        <f>-1088907-362085-174615</f>
        <v>-1625607</v>
      </c>
      <c r="AD130" s="85">
        <f t="shared" si="44"/>
        <v>1064229</v>
      </c>
      <c r="AE130" s="42">
        <f t="shared" si="50"/>
        <v>0</v>
      </c>
      <c r="AF130" s="88">
        <f t="shared" si="49"/>
        <v>0</v>
      </c>
      <c r="AG130" s="41" t="s">
        <v>896</v>
      </c>
      <c r="AH130" s="35" t="s">
        <v>21</v>
      </c>
      <c r="AI130" s="35" t="s">
        <v>21</v>
      </c>
      <c r="AJ130" s="35" t="s">
        <v>15</v>
      </c>
      <c r="AK130" s="35" t="s">
        <v>224</v>
      </c>
      <c r="AL130" s="35" t="s">
        <v>232</v>
      </c>
      <c r="AM130" s="35" t="s">
        <v>909</v>
      </c>
      <c r="AN130" s="42">
        <f t="shared" si="43"/>
        <v>143215.29999999993</v>
      </c>
    </row>
    <row r="131" spans="1:42" s="37" customFormat="1" ht="72" x14ac:dyDescent="0.3">
      <c r="A131" s="37">
        <v>409</v>
      </c>
      <c r="B131" s="164" t="s">
        <v>947</v>
      </c>
      <c r="C131" s="35" t="s">
        <v>948</v>
      </c>
      <c r="D131" s="35">
        <v>3646</v>
      </c>
      <c r="E131" s="38">
        <v>44743</v>
      </c>
      <c r="F131" s="38">
        <v>45473</v>
      </c>
      <c r="G131" s="39">
        <f t="shared" si="46"/>
        <v>730</v>
      </c>
      <c r="H131" s="40">
        <f t="shared" ref="H131:H138" si="51">IF(U131="Completed",1,($B$1-E131)/G131)</f>
        <v>1</v>
      </c>
      <c r="I131" s="41">
        <v>1674380</v>
      </c>
      <c r="J131" s="41">
        <v>0</v>
      </c>
      <c r="K131" s="41">
        <v>0</v>
      </c>
      <c r="L131" s="42">
        <f t="shared" si="47"/>
        <v>1674380</v>
      </c>
      <c r="M131" s="41">
        <v>1674380</v>
      </c>
      <c r="N131" s="42">
        <f t="shared" si="48"/>
        <v>0</v>
      </c>
      <c r="O131" s="83">
        <v>1674380</v>
      </c>
      <c r="P131" s="45" t="s">
        <v>949</v>
      </c>
      <c r="Q131" s="35" t="s">
        <v>950</v>
      </c>
      <c r="R131" s="35" t="s">
        <v>951</v>
      </c>
      <c r="S131" s="35" t="s">
        <v>952</v>
      </c>
      <c r="T131" s="149" t="s">
        <v>833</v>
      </c>
      <c r="U131" s="35" t="s">
        <v>26</v>
      </c>
      <c r="V131" s="83">
        <v>1674380</v>
      </c>
      <c r="W131" s="89"/>
      <c r="X131" s="84">
        <f t="shared" ref="X131:X138" si="52">V131+W131</f>
        <v>1674380</v>
      </c>
      <c r="Y131" s="83">
        <v>1674380</v>
      </c>
      <c r="Z131" s="83"/>
      <c r="AA131" s="85">
        <f t="shared" ref="AA131:AA138" si="53">Y131+Z131</f>
        <v>1674380</v>
      </c>
      <c r="AB131" s="86">
        <f t="shared" si="45"/>
        <v>1</v>
      </c>
      <c r="AC131" s="90">
        <v>0</v>
      </c>
      <c r="AD131" s="85">
        <f t="shared" si="44"/>
        <v>1674380</v>
      </c>
      <c r="AE131" s="42">
        <f t="shared" si="50"/>
        <v>0</v>
      </c>
      <c r="AF131" s="88">
        <f t="shared" si="49"/>
        <v>0</v>
      </c>
      <c r="AG131" s="45" t="s">
        <v>121</v>
      </c>
      <c r="AH131" s="35" t="s">
        <v>21</v>
      </c>
      <c r="AI131" s="35" t="s">
        <v>21</v>
      </c>
      <c r="AJ131" s="35" t="s">
        <v>15</v>
      </c>
      <c r="AK131" s="35" t="s">
        <v>224</v>
      </c>
      <c r="AL131" s="35" t="s">
        <v>149</v>
      </c>
      <c r="AM131" s="37" t="s">
        <v>686</v>
      </c>
      <c r="AN131" s="42">
        <f t="shared" ref="AN131:AN138" si="54">AD131-AA131</f>
        <v>0</v>
      </c>
    </row>
    <row r="132" spans="1:42" s="37" customFormat="1" ht="111.75" customHeight="1" x14ac:dyDescent="0.3">
      <c r="A132" s="37">
        <v>409</v>
      </c>
      <c r="B132" s="164" t="s">
        <v>953</v>
      </c>
      <c r="C132" s="35" t="s">
        <v>954</v>
      </c>
      <c r="D132" s="35">
        <v>3646</v>
      </c>
      <c r="E132" s="38">
        <v>44791</v>
      </c>
      <c r="F132" s="38">
        <v>45473</v>
      </c>
      <c r="G132" s="39">
        <f t="shared" si="46"/>
        <v>682</v>
      </c>
      <c r="H132" s="40">
        <f t="shared" si="51"/>
        <v>1</v>
      </c>
      <c r="I132" s="41">
        <f>139886+160680</f>
        <v>300566</v>
      </c>
      <c r="J132" s="41">
        <f>-133926-104443-21389</f>
        <v>-259758</v>
      </c>
      <c r="K132" s="41">
        <v>0</v>
      </c>
      <c r="L132" s="42">
        <f t="shared" si="47"/>
        <v>40808</v>
      </c>
      <c r="M132" s="41">
        <v>40808</v>
      </c>
      <c r="N132" s="42">
        <f t="shared" si="48"/>
        <v>0</v>
      </c>
      <c r="O132" s="83">
        <f>139886+160680</f>
        <v>300566</v>
      </c>
      <c r="P132" s="41" t="s">
        <v>955</v>
      </c>
      <c r="Q132" s="35" t="s">
        <v>956</v>
      </c>
      <c r="R132" s="35" t="s">
        <v>914</v>
      </c>
      <c r="S132" s="35" t="s">
        <v>915</v>
      </c>
      <c r="T132" s="149" t="s">
        <v>940</v>
      </c>
      <c r="U132" s="35" t="s">
        <v>26</v>
      </c>
      <c r="V132" s="83">
        <v>35581.15</v>
      </c>
      <c r="W132" s="89"/>
      <c r="X132" s="84">
        <f t="shared" si="52"/>
        <v>35581.15</v>
      </c>
      <c r="Y132" s="83">
        <v>35581.15</v>
      </c>
      <c r="Z132" s="83"/>
      <c r="AA132" s="85">
        <f t="shared" si="53"/>
        <v>35581.15</v>
      </c>
      <c r="AB132" s="86">
        <f t="shared" si="45"/>
        <v>0.11838048881110971</v>
      </c>
      <c r="AC132" s="41">
        <f>-133926-104443-21389</f>
        <v>-259758</v>
      </c>
      <c r="AD132" s="85">
        <f t="shared" si="44"/>
        <v>40808</v>
      </c>
      <c r="AE132" s="42">
        <f t="shared" si="50"/>
        <v>0</v>
      </c>
      <c r="AF132" s="88">
        <f t="shared" si="49"/>
        <v>5226.8499999999985</v>
      </c>
      <c r="AG132" s="41" t="s">
        <v>896</v>
      </c>
      <c r="AH132" s="35" t="s">
        <v>21</v>
      </c>
      <c r="AI132" s="35" t="s">
        <v>21</v>
      </c>
      <c r="AJ132" s="35" t="s">
        <v>15</v>
      </c>
      <c r="AK132" s="35" t="s">
        <v>224</v>
      </c>
      <c r="AL132" s="35" t="s">
        <v>149</v>
      </c>
      <c r="AM132" s="35" t="s">
        <v>909</v>
      </c>
      <c r="AN132" s="42">
        <f t="shared" si="54"/>
        <v>5226.8499999999985</v>
      </c>
    </row>
    <row r="133" spans="1:42" s="37" customFormat="1" ht="244.8" x14ac:dyDescent="0.3">
      <c r="A133" s="37">
        <v>409</v>
      </c>
      <c r="B133" s="164" t="s">
        <v>957</v>
      </c>
      <c r="C133" s="36" t="s">
        <v>958</v>
      </c>
      <c r="D133" s="35">
        <v>3646</v>
      </c>
      <c r="E133" s="98">
        <v>45456</v>
      </c>
      <c r="F133" s="98">
        <v>46387</v>
      </c>
      <c r="G133" s="39">
        <f t="shared" si="46"/>
        <v>931</v>
      </c>
      <c r="H133" s="40">
        <f t="shared" si="51"/>
        <v>0.47798066595059074</v>
      </c>
      <c r="I133" s="41">
        <v>3888162</v>
      </c>
      <c r="J133" s="41">
        <v>0</v>
      </c>
      <c r="K133" s="41">
        <v>0</v>
      </c>
      <c r="L133" s="42">
        <f t="shared" si="47"/>
        <v>3888162</v>
      </c>
      <c r="M133" s="41">
        <v>3888162</v>
      </c>
      <c r="N133" s="42">
        <f t="shared" si="48"/>
        <v>0</v>
      </c>
      <c r="O133" s="83">
        <v>3888162</v>
      </c>
      <c r="P133" s="53" t="s">
        <v>959</v>
      </c>
      <c r="Q133" s="36" t="s">
        <v>960</v>
      </c>
      <c r="R133" s="36" t="s">
        <v>961</v>
      </c>
      <c r="S133" s="36" t="s">
        <v>962</v>
      </c>
      <c r="T133" s="151" t="s">
        <v>963</v>
      </c>
      <c r="U133" s="99" t="s">
        <v>17</v>
      </c>
      <c r="V133" s="83">
        <v>3888162</v>
      </c>
      <c r="W133" s="89"/>
      <c r="X133" s="84">
        <f t="shared" si="52"/>
        <v>3888162</v>
      </c>
      <c r="Y133" s="83">
        <v>83600</v>
      </c>
      <c r="Z133" s="83">
        <v>0</v>
      </c>
      <c r="AA133" s="85">
        <f t="shared" si="53"/>
        <v>83600</v>
      </c>
      <c r="AB133" s="86">
        <v>0</v>
      </c>
      <c r="AC133" s="90">
        <v>0</v>
      </c>
      <c r="AD133" s="85">
        <f t="shared" si="44"/>
        <v>3888162</v>
      </c>
      <c r="AE133" s="42">
        <f t="shared" si="50"/>
        <v>0</v>
      </c>
      <c r="AF133" s="88">
        <f t="shared" si="49"/>
        <v>0</v>
      </c>
      <c r="AG133" s="41" t="s">
        <v>964</v>
      </c>
      <c r="AH133" s="35" t="s">
        <v>21</v>
      </c>
      <c r="AI133" s="35" t="s">
        <v>21</v>
      </c>
      <c r="AJ133" s="35" t="s">
        <v>8</v>
      </c>
      <c r="AK133" s="37" t="s">
        <v>14</v>
      </c>
      <c r="AL133" s="35" t="s">
        <v>122</v>
      </c>
      <c r="AM133" s="37" t="s">
        <v>76</v>
      </c>
      <c r="AN133" s="42">
        <f t="shared" si="54"/>
        <v>3804562</v>
      </c>
      <c r="AO133" s="34"/>
    </row>
    <row r="134" spans="1:42" s="37" customFormat="1" ht="43.2" x14ac:dyDescent="0.3">
      <c r="A134" s="37">
        <v>409</v>
      </c>
      <c r="B134" s="164" t="s">
        <v>965</v>
      </c>
      <c r="C134" s="35" t="s">
        <v>966</v>
      </c>
      <c r="D134" s="35">
        <v>4895</v>
      </c>
      <c r="E134" s="38">
        <v>44659</v>
      </c>
      <c r="F134" s="38">
        <v>45657</v>
      </c>
      <c r="G134" s="39">
        <f t="shared" si="46"/>
        <v>998</v>
      </c>
      <c r="H134" s="40">
        <f t="shared" si="51"/>
        <v>1</v>
      </c>
      <c r="I134" s="41">
        <v>1560101</v>
      </c>
      <c r="J134" s="41">
        <v>0</v>
      </c>
      <c r="K134" s="41">
        <v>0</v>
      </c>
      <c r="L134" s="42">
        <f t="shared" si="47"/>
        <v>1560101</v>
      </c>
      <c r="M134" s="41">
        <v>1560101</v>
      </c>
      <c r="N134" s="42">
        <f t="shared" si="48"/>
        <v>0</v>
      </c>
      <c r="O134" s="83">
        <v>1560101</v>
      </c>
      <c r="P134" s="45" t="s">
        <v>967</v>
      </c>
      <c r="Q134" s="35" t="s">
        <v>968</v>
      </c>
      <c r="R134" s="35" t="s">
        <v>969</v>
      </c>
      <c r="S134" s="35" t="s">
        <v>734</v>
      </c>
      <c r="T134" s="149" t="s">
        <v>833</v>
      </c>
      <c r="U134" s="35" t="s">
        <v>26</v>
      </c>
      <c r="V134" s="83">
        <v>1560101</v>
      </c>
      <c r="W134" s="89"/>
      <c r="X134" s="84">
        <f t="shared" si="52"/>
        <v>1560101</v>
      </c>
      <c r="Y134" s="83">
        <v>1560101</v>
      </c>
      <c r="Z134" s="83"/>
      <c r="AA134" s="85">
        <f t="shared" si="53"/>
        <v>1560101</v>
      </c>
      <c r="AB134" s="86">
        <f>AA134/O134</f>
        <v>1</v>
      </c>
      <c r="AC134" s="90"/>
      <c r="AD134" s="85">
        <f t="shared" si="44"/>
        <v>1560101</v>
      </c>
      <c r="AE134" s="42">
        <f t="shared" si="50"/>
        <v>0</v>
      </c>
      <c r="AF134" s="88">
        <f t="shared" si="49"/>
        <v>0</v>
      </c>
      <c r="AG134" s="45" t="s">
        <v>121</v>
      </c>
      <c r="AH134" s="35">
        <v>514</v>
      </c>
      <c r="AI134" s="35" t="s">
        <v>21</v>
      </c>
      <c r="AJ134" s="35" t="s">
        <v>15</v>
      </c>
      <c r="AK134" s="35" t="s">
        <v>25</v>
      </c>
      <c r="AL134" s="35" t="s">
        <v>179</v>
      </c>
      <c r="AM134" s="95" t="s">
        <v>686</v>
      </c>
      <c r="AN134" s="42">
        <f t="shared" si="54"/>
        <v>0</v>
      </c>
    </row>
    <row r="135" spans="1:42" s="37" customFormat="1" ht="43.2" x14ac:dyDescent="0.3">
      <c r="A135" s="37">
        <v>409</v>
      </c>
      <c r="B135" s="164" t="s">
        <v>970</v>
      </c>
      <c r="C135" s="35" t="s">
        <v>971</v>
      </c>
      <c r="D135" s="35">
        <v>4895</v>
      </c>
      <c r="E135" s="38">
        <v>45108</v>
      </c>
      <c r="F135" s="38">
        <v>45838</v>
      </c>
      <c r="G135" s="39">
        <f t="shared" si="46"/>
        <v>730</v>
      </c>
      <c r="H135" s="40">
        <f t="shared" si="51"/>
        <v>1</v>
      </c>
      <c r="I135" s="41">
        <v>575346</v>
      </c>
      <c r="J135" s="41">
        <v>0</v>
      </c>
      <c r="K135" s="41">
        <v>0</v>
      </c>
      <c r="L135" s="42">
        <f t="shared" si="47"/>
        <v>575346</v>
      </c>
      <c r="M135" s="41">
        <v>575346</v>
      </c>
      <c r="N135" s="42">
        <f t="shared" si="48"/>
        <v>0</v>
      </c>
      <c r="O135" s="83">
        <v>575346</v>
      </c>
      <c r="P135" s="41" t="s">
        <v>972</v>
      </c>
      <c r="Q135" s="35" t="s">
        <v>973</v>
      </c>
      <c r="R135" s="35" t="s">
        <v>969</v>
      </c>
      <c r="S135" s="35" t="s">
        <v>734</v>
      </c>
      <c r="T135" s="149" t="s">
        <v>974</v>
      </c>
      <c r="U135" s="35" t="s">
        <v>26</v>
      </c>
      <c r="V135" s="83">
        <v>575346</v>
      </c>
      <c r="W135" s="89"/>
      <c r="X135" s="84">
        <f t="shared" si="52"/>
        <v>575346</v>
      </c>
      <c r="Y135" s="83">
        <v>575346</v>
      </c>
      <c r="Z135" s="83"/>
      <c r="AA135" s="85">
        <f t="shared" si="53"/>
        <v>575346</v>
      </c>
      <c r="AB135" s="86">
        <f>AA135/O135</f>
        <v>1</v>
      </c>
      <c r="AC135" s="90">
        <v>0</v>
      </c>
      <c r="AD135" s="85">
        <f t="shared" si="44"/>
        <v>575346</v>
      </c>
      <c r="AE135" s="42">
        <f t="shared" si="50"/>
        <v>0</v>
      </c>
      <c r="AF135" s="88">
        <f t="shared" si="49"/>
        <v>0</v>
      </c>
      <c r="AG135" s="41" t="s">
        <v>121</v>
      </c>
      <c r="AH135" s="35">
        <v>0</v>
      </c>
      <c r="AI135" s="35" t="s">
        <v>21</v>
      </c>
      <c r="AJ135" s="35" t="s">
        <v>15</v>
      </c>
      <c r="AK135" s="35" t="s">
        <v>25</v>
      </c>
      <c r="AL135" s="35" t="s">
        <v>179</v>
      </c>
      <c r="AM135" s="35" t="s">
        <v>76</v>
      </c>
      <c r="AN135" s="42">
        <f t="shared" si="54"/>
        <v>0</v>
      </c>
    </row>
    <row r="136" spans="1:42" s="37" customFormat="1" ht="115.2" x14ac:dyDescent="0.3">
      <c r="A136" s="37">
        <v>409</v>
      </c>
      <c r="B136" s="164" t="s">
        <v>975</v>
      </c>
      <c r="C136" s="35" t="s">
        <v>976</v>
      </c>
      <c r="D136" s="35" t="s">
        <v>977</v>
      </c>
      <c r="E136" s="38">
        <v>44791</v>
      </c>
      <c r="F136" s="38">
        <v>45838</v>
      </c>
      <c r="G136" s="39">
        <f t="shared" si="46"/>
        <v>1047</v>
      </c>
      <c r="H136" s="40">
        <f t="shared" si="51"/>
        <v>1</v>
      </c>
      <c r="I136" s="41">
        <v>2041322</v>
      </c>
      <c r="J136" s="41">
        <v>-1856496</v>
      </c>
      <c r="K136" s="41">
        <v>0</v>
      </c>
      <c r="L136" s="42">
        <f t="shared" si="47"/>
        <v>184826</v>
      </c>
      <c r="M136" s="41">
        <v>184826</v>
      </c>
      <c r="N136" s="42">
        <f t="shared" si="48"/>
        <v>0</v>
      </c>
      <c r="O136" s="83">
        <v>2041322</v>
      </c>
      <c r="P136" s="41" t="s">
        <v>978</v>
      </c>
      <c r="Q136" s="35" t="s">
        <v>979</v>
      </c>
      <c r="R136" s="35" t="s">
        <v>859</v>
      </c>
      <c r="S136" s="35" t="s">
        <v>825</v>
      </c>
      <c r="T136" s="149" t="s">
        <v>529</v>
      </c>
      <c r="U136" s="35" t="s">
        <v>26</v>
      </c>
      <c r="V136" s="83">
        <v>184826</v>
      </c>
      <c r="W136" s="89"/>
      <c r="X136" s="84">
        <f t="shared" si="52"/>
        <v>184826</v>
      </c>
      <c r="Y136" s="83">
        <v>184826</v>
      </c>
      <c r="Z136" s="83"/>
      <c r="AA136" s="85">
        <f t="shared" si="53"/>
        <v>184826</v>
      </c>
      <c r="AB136" s="86">
        <f>AA136/O136</f>
        <v>9.0542305427561157E-2</v>
      </c>
      <c r="AC136" s="92">
        <v>-1856496</v>
      </c>
      <c r="AD136" s="85">
        <f t="shared" si="44"/>
        <v>184826</v>
      </c>
      <c r="AE136" s="42">
        <f t="shared" si="50"/>
        <v>0</v>
      </c>
      <c r="AF136" s="88">
        <f t="shared" si="49"/>
        <v>0</v>
      </c>
      <c r="AG136" s="45" t="s">
        <v>121</v>
      </c>
      <c r="AH136" s="35" t="s">
        <v>21</v>
      </c>
      <c r="AI136" s="35" t="s">
        <v>21</v>
      </c>
      <c r="AJ136" s="35" t="s">
        <v>15</v>
      </c>
      <c r="AK136" s="35" t="s">
        <v>25</v>
      </c>
      <c r="AL136" s="35" t="s">
        <v>149</v>
      </c>
      <c r="AM136" s="93" t="s">
        <v>980</v>
      </c>
      <c r="AN136" s="42">
        <f t="shared" si="54"/>
        <v>0</v>
      </c>
    </row>
    <row r="137" spans="1:42" s="34" customFormat="1" ht="124.5" customHeight="1" x14ac:dyDescent="0.3">
      <c r="A137" s="37">
        <v>409</v>
      </c>
      <c r="B137" s="164" t="s">
        <v>981</v>
      </c>
      <c r="C137" s="54" t="s">
        <v>982</v>
      </c>
      <c r="D137" s="35" t="s">
        <v>977</v>
      </c>
      <c r="E137" s="38">
        <v>44791</v>
      </c>
      <c r="F137" s="38">
        <v>45535</v>
      </c>
      <c r="G137" s="39">
        <f t="shared" si="46"/>
        <v>744</v>
      </c>
      <c r="H137" s="40">
        <f t="shared" si="51"/>
        <v>1</v>
      </c>
      <c r="I137" s="41">
        <v>2433016</v>
      </c>
      <c r="J137" s="41">
        <f>-964355-162587.52</f>
        <v>-1126942.52</v>
      </c>
      <c r="K137" s="41">
        <v>0</v>
      </c>
      <c r="L137" s="42">
        <f t="shared" si="47"/>
        <v>1306073.48</v>
      </c>
      <c r="M137" s="41">
        <f>1468661-162587.52</f>
        <v>1306073.48</v>
      </c>
      <c r="N137" s="42">
        <f t="shared" si="48"/>
        <v>0</v>
      </c>
      <c r="O137" s="83">
        <f>766935+1666081</f>
        <v>2433016</v>
      </c>
      <c r="P137" s="41" t="s">
        <v>900</v>
      </c>
      <c r="Q137" s="35" t="s">
        <v>983</v>
      </c>
      <c r="R137" s="35" t="s">
        <v>859</v>
      </c>
      <c r="S137" s="35" t="s">
        <v>825</v>
      </c>
      <c r="T137" s="149" t="s">
        <v>984</v>
      </c>
      <c r="U137" s="35" t="s">
        <v>26</v>
      </c>
      <c r="V137" s="83">
        <v>1306073.48</v>
      </c>
      <c r="W137" s="83"/>
      <c r="X137" s="84">
        <f t="shared" si="52"/>
        <v>1306073.48</v>
      </c>
      <c r="Y137" s="83">
        <v>1306073.48</v>
      </c>
      <c r="Z137" s="83"/>
      <c r="AA137" s="85">
        <f t="shared" si="53"/>
        <v>1306073.48</v>
      </c>
      <c r="AB137" s="86">
        <f>AA137/O137</f>
        <v>0.53681253226448156</v>
      </c>
      <c r="AC137" s="90">
        <f>-964355-162587.52</f>
        <v>-1126942.52</v>
      </c>
      <c r="AD137" s="85">
        <f t="shared" si="44"/>
        <v>1306073.48</v>
      </c>
      <c r="AE137" s="42">
        <f t="shared" si="50"/>
        <v>0</v>
      </c>
      <c r="AF137" s="88">
        <f t="shared" si="49"/>
        <v>0</v>
      </c>
      <c r="AG137" s="45" t="s">
        <v>121</v>
      </c>
      <c r="AH137" s="35" t="s">
        <v>21</v>
      </c>
      <c r="AI137" s="35" t="s">
        <v>21</v>
      </c>
      <c r="AJ137" s="35" t="s">
        <v>15</v>
      </c>
      <c r="AK137" s="35" t="s">
        <v>25</v>
      </c>
      <c r="AL137" s="35" t="s">
        <v>149</v>
      </c>
      <c r="AM137" s="97" t="s">
        <v>76</v>
      </c>
      <c r="AN137" s="42">
        <f t="shared" si="54"/>
        <v>0</v>
      </c>
      <c r="AO137" s="37"/>
      <c r="AP137" s="37"/>
    </row>
    <row r="138" spans="1:42" s="34" customFormat="1" ht="129.6" x14ac:dyDescent="0.3">
      <c r="A138" s="37" t="s">
        <v>985</v>
      </c>
      <c r="B138" s="164" t="s">
        <v>986</v>
      </c>
      <c r="C138" s="35" t="s">
        <v>987</v>
      </c>
      <c r="D138" s="35">
        <v>3145</v>
      </c>
      <c r="E138" s="38">
        <v>44769</v>
      </c>
      <c r="F138" s="38">
        <v>45565</v>
      </c>
      <c r="G138" s="39">
        <f t="shared" si="46"/>
        <v>796</v>
      </c>
      <c r="H138" s="40">
        <f t="shared" si="51"/>
        <v>1</v>
      </c>
      <c r="I138" s="41">
        <v>112657</v>
      </c>
      <c r="J138" s="41">
        <v>0</v>
      </c>
      <c r="K138" s="41">
        <v>0</v>
      </c>
      <c r="L138" s="42">
        <f t="shared" si="47"/>
        <v>112657</v>
      </c>
      <c r="M138" s="41">
        <v>112657</v>
      </c>
      <c r="N138" s="42">
        <f t="shared" si="48"/>
        <v>0</v>
      </c>
      <c r="O138" s="83">
        <v>112657</v>
      </c>
      <c r="P138" s="41" t="s">
        <v>988</v>
      </c>
      <c r="Q138" s="35" t="s">
        <v>989</v>
      </c>
      <c r="R138" s="35" t="s">
        <v>990</v>
      </c>
      <c r="S138" s="35" t="s">
        <v>990</v>
      </c>
      <c r="T138" s="149" t="s">
        <v>991</v>
      </c>
      <c r="U138" s="35" t="s">
        <v>26</v>
      </c>
      <c r="V138" s="83">
        <v>112657</v>
      </c>
      <c r="W138" s="89"/>
      <c r="X138" s="84">
        <f t="shared" si="52"/>
        <v>112657</v>
      </c>
      <c r="Y138" s="83">
        <v>111124.08</v>
      </c>
      <c r="Z138" s="83"/>
      <c r="AA138" s="85">
        <f t="shared" si="53"/>
        <v>111124.08</v>
      </c>
      <c r="AB138" s="86">
        <f>AA138/O138</f>
        <v>0.98639303372182818</v>
      </c>
      <c r="AC138" s="90">
        <v>0</v>
      </c>
      <c r="AD138" s="85">
        <f t="shared" si="44"/>
        <v>112657</v>
      </c>
      <c r="AE138" s="42">
        <f t="shared" si="50"/>
        <v>0</v>
      </c>
      <c r="AF138" s="88">
        <f t="shared" si="49"/>
        <v>0</v>
      </c>
      <c r="AG138" s="45" t="s">
        <v>121</v>
      </c>
      <c r="AH138" s="78">
        <v>3115</v>
      </c>
      <c r="AI138" s="35" t="s">
        <v>21</v>
      </c>
      <c r="AJ138" s="35" t="s">
        <v>15</v>
      </c>
      <c r="AK138" s="35" t="s">
        <v>25</v>
      </c>
      <c r="AL138" s="35" t="s">
        <v>232</v>
      </c>
      <c r="AM138" s="35" t="s">
        <v>686</v>
      </c>
      <c r="AN138" s="42">
        <f t="shared" si="54"/>
        <v>1532.9199999999983</v>
      </c>
      <c r="AO138" s="37"/>
      <c r="AP138" s="37"/>
    </row>
    <row r="139" spans="1:42" s="100" customFormat="1" ht="15" thickBot="1" x14ac:dyDescent="0.35">
      <c r="C139" s="101"/>
      <c r="D139" s="101"/>
      <c r="E139" s="102"/>
      <c r="F139" s="102"/>
      <c r="G139" s="103"/>
      <c r="H139" s="104">
        <f>AVERAGE(H3:H138)</f>
        <v>0.91248263305760491</v>
      </c>
      <c r="I139" s="105">
        <f t="shared" ref="I139:O139" si="55">SUM(I3:I138)</f>
        <v>566397580.70000005</v>
      </c>
      <c r="J139" s="105">
        <f t="shared" si="55"/>
        <v>-74388245.269999981</v>
      </c>
      <c r="K139" s="105">
        <f t="shared" si="55"/>
        <v>-17187405.5</v>
      </c>
      <c r="L139" s="105">
        <f t="shared" si="55"/>
        <v>474821929.93000007</v>
      </c>
      <c r="M139" s="105">
        <f t="shared" si="55"/>
        <v>564289405.44000006</v>
      </c>
      <c r="N139" s="105">
        <f t="shared" si="55"/>
        <v>-89467475.50999999</v>
      </c>
      <c r="O139" s="105">
        <f t="shared" si="55"/>
        <v>541000001.45000005</v>
      </c>
      <c r="P139" s="106"/>
      <c r="Q139" s="101"/>
      <c r="R139" s="101"/>
      <c r="S139" s="101"/>
      <c r="T139" s="101"/>
      <c r="U139" s="101"/>
      <c r="V139" s="105">
        <f t="shared" ref="V139:AA139" si="56">SUM(V3:V138)</f>
        <v>472991255.22000003</v>
      </c>
      <c r="W139" s="105">
        <f t="shared" si="56"/>
        <v>1147596.0199999998</v>
      </c>
      <c r="X139" s="105">
        <f t="shared" si="56"/>
        <v>474138851.24000001</v>
      </c>
      <c r="Y139" s="174">
        <f t="shared" si="56"/>
        <v>321018569.04000002</v>
      </c>
      <c r="Z139" s="174">
        <f t="shared" si="56"/>
        <v>11321359.089999998</v>
      </c>
      <c r="AA139" s="105">
        <f t="shared" si="56"/>
        <v>332339928.13</v>
      </c>
      <c r="AB139" s="175">
        <f>AA139/AD139</f>
        <v>0.69081631308658076</v>
      </c>
      <c r="AC139" s="105">
        <f>SUM(AC3:AC138)</f>
        <v>-112993098.24000001</v>
      </c>
      <c r="AD139" s="105">
        <f>SUM(AD3:AD138)</f>
        <v>481082918.62000006</v>
      </c>
      <c r="AE139" s="105">
        <f>SUM(AE3:AE138)</f>
        <v>83206486.820000008</v>
      </c>
      <c r="AF139" s="105">
        <f>SUM(AF3:AF138)</f>
        <v>-4321041.4400000004</v>
      </c>
      <c r="AG139" s="105"/>
      <c r="AH139" s="107"/>
      <c r="AI139" s="107"/>
      <c r="AJ139" s="101"/>
      <c r="AN139" s="105">
        <f>SUM(AN3:AN138)</f>
        <v>148742990.48999998</v>
      </c>
    </row>
    <row r="140" spans="1:42" ht="14.4" customHeight="1" thickTop="1" x14ac:dyDescent="0.3">
      <c r="Z140" s="115" t="s">
        <v>76</v>
      </c>
    </row>
  </sheetData>
  <sortState xmlns:xlrd2="http://schemas.microsoft.com/office/spreadsheetml/2017/richdata2" ref="A3:AO140">
    <sortCondition ref="A3:A140"/>
  </sortState>
  <conditionalFormatting sqref="B72:B1048576 B1:B70">
    <cfRule type="duplicateValues" dxfId="1" priority="2"/>
  </conditionalFormatting>
  <conditionalFormatting sqref="AN1:AN1048576">
    <cfRule type="cellIs" dxfId="0" priority="1" operator="lessThan">
      <formula>0</formula>
    </cfRule>
  </conditionalFormatting>
  <dataValidations count="10">
    <dataValidation type="textLength" showInputMessage="1" showErrorMessage="1" sqref="R63:R82 R85:R112 R51:R61 S131:T131 S88 R5:S6 S125:S126 S133:T133 R116:R117 R120:R122 T113:T114 T105 S103:S105 T103 R29 T29:T31 R124:R126 R151:R1048576 T136 S29:S32 S136:S138 T2 T138 R130:R149 R1:S2 R31:R49" xr:uid="{658EB159-8847-40FC-A3BA-245B06CCB05F}">
      <formula1>1</formula1>
      <formula2>250</formula2>
    </dataValidation>
    <dataValidation type="textLength" showErrorMessage="1" errorTitle="Exceeds 250 Characters" error="Revise input to be 250 characters or less. " sqref="R4" xr:uid="{19AB4738-0D45-44DA-BF32-517F8403C0F9}">
      <formula1>1</formula1>
      <formula2>250</formula2>
    </dataValidation>
    <dataValidation type="textLength" showErrorMessage="1" errorTitle="Exceeds 250 Characters" error="Revise input to be 250 Characters or less. " sqref="S4:T4" xr:uid="{7D693325-D51A-49C9-8BDC-9C7B22D31104}">
      <formula1>1</formula1>
      <formula2>250</formula2>
    </dataValidation>
    <dataValidation type="list" allowBlank="1" sqref="S130:T130 T138:T139 S85:S87 S132:T132 T52 S116:T117 S120:T122 S150 S106:T112 T79:T81 S89:S102 T54:T56 S124 T63:T64 S68:S81 T38 S134:S135 T47 T141 S151:T1048576 T91:T102 S142:T149 T66:T67 S137:S141 S2:T2 T124:T126 T129 T134 S33:S63 T33:T34" xr:uid="{25DAE563-A722-4A27-AE6F-2981A7C9CEEC}">
      <formula1>#REF!</formula1>
    </dataValidation>
    <dataValidation type="textLength" showErrorMessage="1" errorTitle="Exceeds 250 characters" error="Revise input to be 250 characters or less. " sqref="S123:T123 S118:T119 S113:S115 T115" xr:uid="{8B836AD3-7276-4414-8272-C16ED45F5245}">
      <formula1>1</formula1>
      <formula2>250</formula2>
    </dataValidation>
    <dataValidation type="textLength" showErrorMessage="1" errorTitle="Exceeds 250 characters" error="Revise input to be 250 characters or less." sqref="R113:R115 R118:R119 R127:T127" xr:uid="{35670A63-6F92-4154-9771-ED76B6180B04}">
      <formula1>1</formula1>
      <formula2>250</formula2>
    </dataValidation>
    <dataValidation type="textLength" allowBlank="1" showErrorMessage="1" errorTitle="Exceeds 1500 characters" error="Please revise input to be 1500 characters or less. " sqref="R123" xr:uid="{12A521EC-3133-4E8C-BA7C-B181E8CB74FC}">
      <formula1>50</formula1>
      <formula2>1500</formula2>
    </dataValidation>
    <dataValidation type="list" allowBlank="1" showInputMessage="1" showErrorMessage="1" sqref="AK2:AL2 AK136:AL138 AL1:AL2 AK5:AL134" xr:uid="{77FB4BF4-74B4-429C-BED6-8FEE1D5264F1}">
      <formula1>#REF!</formula1>
    </dataValidation>
    <dataValidation type="textLength" operator="lessThanOrEqual" showInputMessage="1" showErrorMessage="1" sqref="Q1:Q1048576" xr:uid="{90B5374E-003C-4723-8F14-CE239B7C3830}">
      <formula1>1500</formula1>
    </dataValidation>
    <dataValidation type="textLength" showErrorMessage="1" errorTitle="Exceeds 1500 Character" error="Please revise response to be 1500 characters or less." promptTitle="Program Description" sqref="R30" xr:uid="{3CF2B7CF-4981-499F-B47D-1C619914C73F}">
      <formula1>1</formula1>
      <formula2>1500</formula2>
    </dataValidation>
  </dataValidations>
  <printOptions gridLines="1"/>
  <pageMargins left="0.25" right="0.25" top="0.75" bottom="0.75" header="0.3" footer="0.3"/>
  <pageSetup paperSize="5" fitToHeight="13"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15D25C1-B81E-4F1D-9A93-42E0CE35C266}">
          <x14:formula1>
            <xm:f>'Data Validation'!$H$2:$H$4</xm:f>
          </x14:formula1>
          <xm:sqref>AK135 AK137:AK1048576 AK1:AK4</xm:sqref>
        </x14:dataValidation>
        <x14:dataValidation type="list" allowBlank="1" xr:uid="{3C786AE6-C4DD-4EC1-B630-7A04A32BABB3}">
          <x14:formula1>
            <xm:f>'Data Validation'!$B$2:$B$4</xm:f>
          </x14:formula1>
          <xm:sqref>AI50 AI54:AI73 AI75:AI81 AI85:AI1048576 AI1:AI47</xm:sqref>
        </x14:dataValidation>
        <x14:dataValidation type="list" allowBlank="1" xr:uid="{5AC47B64-B5DF-45FC-A146-82CAFFD880C9}">
          <x14:formula1>
            <xm:f>'Data Validation'!$D$2:$D$5</xm:f>
          </x14:formula1>
          <xm:sqref>U1:U1048576</xm:sqref>
        </x14:dataValidation>
        <x14:dataValidation type="list" allowBlank="1" xr:uid="{6311BB2B-C848-4EC5-A50F-9484A3621E38}">
          <x14:formula1>
            <xm:f>'Data Validation'!$A$2:$A$3</xm:f>
          </x14:formula1>
          <xm:sqref>AJ1:AJ1048576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E9614-7294-416F-9DF3-8726E006BC90}">
  <sheetPr>
    <pageSetUpPr fitToPage="1"/>
  </sheetPr>
  <dimension ref="A1:F23"/>
  <sheetViews>
    <sheetView workbookViewId="0">
      <selection activeCell="A17" sqref="A17"/>
    </sheetView>
  </sheetViews>
  <sheetFormatPr defaultRowHeight="14.4" x14ac:dyDescent="0.3"/>
  <cols>
    <col min="1" max="1" width="9.6640625" bestFit="1" customWidth="1"/>
    <col min="2" max="2" width="11.109375" bestFit="1" customWidth="1"/>
    <col min="3" max="3" width="15" style="13" bestFit="1" customWidth="1"/>
    <col min="4" max="4" width="65.44140625" bestFit="1" customWidth="1"/>
    <col min="5" max="5" width="15.5546875" style="9" bestFit="1" customWidth="1"/>
    <col min="6" max="6" width="12.33203125" customWidth="1"/>
  </cols>
  <sheetData>
    <row r="1" spans="1:6" x14ac:dyDescent="0.3">
      <c r="A1" t="s">
        <v>992</v>
      </c>
    </row>
    <row r="2" spans="1:6" ht="28.8" x14ac:dyDescent="0.3">
      <c r="A2" s="21"/>
      <c r="B2" s="21"/>
      <c r="C2" s="22"/>
      <c r="D2" s="21"/>
      <c r="E2" s="23" t="s">
        <v>993</v>
      </c>
      <c r="F2" s="24" t="s">
        <v>994</v>
      </c>
    </row>
    <row r="3" spans="1:6" x14ac:dyDescent="0.3">
      <c r="A3" s="4">
        <v>45364</v>
      </c>
      <c r="B3" t="s">
        <v>995</v>
      </c>
      <c r="C3" s="13">
        <v>-1302785</v>
      </c>
      <c r="D3" t="s">
        <v>996</v>
      </c>
      <c r="E3" s="9">
        <v>-1302785</v>
      </c>
      <c r="F3" s="7">
        <f>C3-E3</f>
        <v>0</v>
      </c>
    </row>
    <row r="4" spans="1:6" x14ac:dyDescent="0.3">
      <c r="B4" t="s">
        <v>997</v>
      </c>
      <c r="C4" s="13">
        <v>-4795745</v>
      </c>
      <c r="D4" t="s">
        <v>998</v>
      </c>
      <c r="E4" s="9">
        <v>-4795745</v>
      </c>
      <c r="F4" s="7">
        <f t="shared" ref="F4:F22" si="0">C4-E4</f>
        <v>0</v>
      </c>
    </row>
    <row r="5" spans="1:6" x14ac:dyDescent="0.3">
      <c r="B5" t="s">
        <v>999</v>
      </c>
      <c r="C5" s="13">
        <v>-1788960</v>
      </c>
      <c r="D5" t="s">
        <v>298</v>
      </c>
      <c r="E5" s="9">
        <v>-1788960</v>
      </c>
      <c r="F5" s="7">
        <f t="shared" si="0"/>
        <v>0</v>
      </c>
    </row>
    <row r="6" spans="1:6" x14ac:dyDescent="0.3">
      <c r="B6" t="s">
        <v>1000</v>
      </c>
      <c r="C6" s="13">
        <v>-400000</v>
      </c>
      <c r="D6" t="s">
        <v>268</v>
      </c>
      <c r="E6" s="9">
        <v>-400000</v>
      </c>
      <c r="F6" s="7">
        <f t="shared" si="0"/>
        <v>0</v>
      </c>
    </row>
    <row r="7" spans="1:6" x14ac:dyDescent="0.3">
      <c r="B7" t="s">
        <v>1001</v>
      </c>
      <c r="C7" s="13">
        <v>-2000000</v>
      </c>
      <c r="D7" t="s">
        <v>261</v>
      </c>
      <c r="E7" s="9">
        <v>-2000000</v>
      </c>
      <c r="F7" s="7">
        <f t="shared" si="0"/>
        <v>0</v>
      </c>
    </row>
    <row r="8" spans="1:6" x14ac:dyDescent="0.3">
      <c r="B8" t="s">
        <v>1002</v>
      </c>
      <c r="C8" s="13">
        <v>-500000</v>
      </c>
      <c r="D8" t="s">
        <v>1003</v>
      </c>
      <c r="E8" s="9">
        <v>-500000</v>
      </c>
      <c r="F8" s="7">
        <f t="shared" si="0"/>
        <v>0</v>
      </c>
    </row>
    <row r="9" spans="1:6" x14ac:dyDescent="0.3">
      <c r="B9" t="s">
        <v>1004</v>
      </c>
      <c r="C9" s="13">
        <v>-162013</v>
      </c>
      <c r="D9" t="s">
        <v>1005</v>
      </c>
      <c r="E9" s="9">
        <v>-160586</v>
      </c>
      <c r="F9" s="7">
        <f>C9-E9</f>
        <v>-1427</v>
      </c>
    </row>
    <row r="10" spans="1:6" x14ac:dyDescent="0.3">
      <c r="B10" t="s">
        <v>1006</v>
      </c>
      <c r="C10" s="13">
        <v>-736487</v>
      </c>
      <c r="D10" t="s">
        <v>1005</v>
      </c>
      <c r="E10" s="9">
        <v>-733715</v>
      </c>
      <c r="F10" s="7">
        <f t="shared" si="0"/>
        <v>-2772</v>
      </c>
    </row>
    <row r="11" spans="1:6" x14ac:dyDescent="0.3">
      <c r="B11" t="s">
        <v>1007</v>
      </c>
      <c r="C11" s="13">
        <v>-248239</v>
      </c>
      <c r="D11" t="s">
        <v>1005</v>
      </c>
      <c r="E11" s="9">
        <v>-245864</v>
      </c>
      <c r="F11" s="7">
        <f t="shared" si="0"/>
        <v>-2375</v>
      </c>
    </row>
    <row r="12" spans="1:6" x14ac:dyDescent="0.3">
      <c r="B12" t="s">
        <v>1008</v>
      </c>
      <c r="C12" s="13">
        <v>-660000</v>
      </c>
      <c r="D12" t="s">
        <v>1005</v>
      </c>
      <c r="E12" s="9">
        <v>-660000</v>
      </c>
      <c r="F12" s="7">
        <f t="shared" si="0"/>
        <v>0</v>
      </c>
    </row>
    <row r="13" spans="1:6" x14ac:dyDescent="0.3">
      <c r="B13" t="s">
        <v>1009</v>
      </c>
      <c r="C13" s="13">
        <v>-105394</v>
      </c>
      <c r="D13" t="s">
        <v>1005</v>
      </c>
      <c r="E13" s="9">
        <v>-104443</v>
      </c>
      <c r="F13" s="7">
        <f t="shared" si="0"/>
        <v>-951</v>
      </c>
    </row>
    <row r="14" spans="1:6" x14ac:dyDescent="0.3">
      <c r="B14" t="s">
        <v>1010</v>
      </c>
      <c r="C14" s="13">
        <v>-238801</v>
      </c>
      <c r="D14" t="s">
        <v>1005</v>
      </c>
      <c r="E14" s="9">
        <v>-236717</v>
      </c>
      <c r="F14" s="7">
        <f t="shared" si="0"/>
        <v>-2084</v>
      </c>
    </row>
    <row r="15" spans="1:6" x14ac:dyDescent="0.3">
      <c r="B15" t="s">
        <v>1011</v>
      </c>
      <c r="C15" s="13">
        <v>-362085</v>
      </c>
      <c r="D15" t="s">
        <v>1005</v>
      </c>
      <c r="E15" s="9">
        <v>-362085</v>
      </c>
      <c r="F15" s="7">
        <f t="shared" si="0"/>
        <v>0</v>
      </c>
    </row>
    <row r="16" spans="1:6" x14ac:dyDescent="0.3">
      <c r="B16" t="s">
        <v>1012</v>
      </c>
      <c r="C16" s="13">
        <v>-250000</v>
      </c>
      <c r="D16" t="s">
        <v>1013</v>
      </c>
      <c r="E16" s="9">
        <v>-250000</v>
      </c>
      <c r="F16" s="7">
        <f t="shared" si="0"/>
        <v>0</v>
      </c>
    </row>
    <row r="17" spans="2:6" x14ac:dyDescent="0.3">
      <c r="B17" t="s">
        <v>1014</v>
      </c>
      <c r="C17" s="13">
        <v>-1956000</v>
      </c>
      <c r="D17" t="s">
        <v>1015</v>
      </c>
      <c r="E17" s="9">
        <v>-1956000</v>
      </c>
      <c r="F17" s="7">
        <f t="shared" si="0"/>
        <v>0</v>
      </c>
    </row>
    <row r="18" spans="2:6" x14ac:dyDescent="0.3">
      <c r="B18" t="s">
        <v>1016</v>
      </c>
      <c r="C18" s="13">
        <v>-4799969</v>
      </c>
      <c r="D18" t="s">
        <v>1017</v>
      </c>
      <c r="E18" s="9">
        <v>-4799969</v>
      </c>
      <c r="F18" s="7">
        <f t="shared" si="0"/>
        <v>0</v>
      </c>
    </row>
    <row r="19" spans="2:6" x14ac:dyDescent="0.3">
      <c r="B19" t="s">
        <v>1018</v>
      </c>
      <c r="C19" s="13">
        <v>-964276</v>
      </c>
      <c r="D19" t="s">
        <v>1019</v>
      </c>
      <c r="E19" s="9">
        <v>-964276</v>
      </c>
      <c r="F19" s="7">
        <f t="shared" si="0"/>
        <v>0</v>
      </c>
    </row>
    <row r="20" spans="2:6" x14ac:dyDescent="0.3">
      <c r="B20" t="s">
        <v>1020</v>
      </c>
      <c r="C20" s="13">
        <v>-2226486</v>
      </c>
      <c r="D20" t="s">
        <v>1021</v>
      </c>
      <c r="E20" s="9">
        <v>-2226486</v>
      </c>
      <c r="F20" s="7">
        <f t="shared" si="0"/>
        <v>0</v>
      </c>
    </row>
    <row r="21" spans="2:6" x14ac:dyDescent="0.3">
      <c r="B21" t="s">
        <v>1022</v>
      </c>
      <c r="C21" s="13">
        <v>-420086</v>
      </c>
      <c r="D21" t="s">
        <v>1005</v>
      </c>
      <c r="E21" s="9">
        <v>-420086</v>
      </c>
      <c r="F21" s="7">
        <f t="shared" si="0"/>
        <v>0</v>
      </c>
    </row>
    <row r="22" spans="2:6" x14ac:dyDescent="0.3">
      <c r="B22" t="s">
        <v>678</v>
      </c>
      <c r="C22" s="13">
        <v>873360</v>
      </c>
      <c r="D22" t="s">
        <v>1023</v>
      </c>
      <c r="E22" s="9">
        <v>873360</v>
      </c>
      <c r="F22" s="7">
        <f t="shared" si="0"/>
        <v>0</v>
      </c>
    </row>
    <row r="23" spans="2:6" ht="15" thickBot="1" x14ac:dyDescent="0.35">
      <c r="C23" s="13">
        <f>SUM(C3:C22)</f>
        <v>-23043966</v>
      </c>
      <c r="E23" s="11">
        <f>SUM(E3:E22)</f>
        <v>-23034357</v>
      </c>
      <c r="F23" s="11">
        <f>SUM(F3:F22)</f>
        <v>-9609</v>
      </c>
    </row>
  </sheetData>
  <pageMargins left="0.7" right="0.7" top="0.75" bottom="0.75" header="0.3" footer="0.3"/>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D673-F6B5-4A4E-90DD-2F7E63BBC9CA}">
  <dimension ref="B3:G74"/>
  <sheetViews>
    <sheetView topLeftCell="B1" zoomScaleNormal="100" workbookViewId="0">
      <selection activeCell="F68" sqref="F68"/>
    </sheetView>
  </sheetViews>
  <sheetFormatPr defaultRowHeight="14.4" x14ac:dyDescent="0.3"/>
  <cols>
    <col min="1" max="1" width="4" bestFit="1" customWidth="1"/>
    <col min="2" max="2" width="31.88671875" customWidth="1"/>
    <col min="3" max="3" width="17.44140625" bestFit="1" customWidth="1"/>
    <col min="4" max="4" width="14" customWidth="1"/>
    <col min="5" max="5" width="15.109375" bestFit="1" customWidth="1"/>
    <col min="6" max="6" width="16.109375" customWidth="1"/>
    <col min="7" max="7" width="14.44140625" customWidth="1"/>
  </cols>
  <sheetData>
    <row r="3" spans="2:4" x14ac:dyDescent="0.3">
      <c r="B3" s="16" t="s">
        <v>1024</v>
      </c>
      <c r="C3" s="25" t="s">
        <v>1025</v>
      </c>
      <c r="D3" s="16" t="s">
        <v>1026</v>
      </c>
    </row>
    <row r="4" spans="2:4" x14ac:dyDescent="0.3">
      <c r="B4" s="6" t="s">
        <v>224</v>
      </c>
      <c r="C4" s="7">
        <f>GETPIVOTDATA("Revised Approved Budget",'Updated Pivot'!$A$28,"Area Served: Urban (Clark/Washoe), Rural or Statewide","Clark")</f>
        <v>62463812.390000001</v>
      </c>
      <c r="D4" s="27">
        <f>C4/$C$9</f>
        <v>0.12978123893929319</v>
      </c>
    </row>
    <row r="5" spans="2:4" x14ac:dyDescent="0.3">
      <c r="B5" s="6" t="s">
        <v>20</v>
      </c>
      <c r="C5" s="7">
        <f>GETPIVOTDATA("Revised Approved Budget",'Updated Pivot'!$A$28,"Area Served: Urban (Clark/Washoe), Rural or Statewide","Rural")</f>
        <v>8367054.2400000002</v>
      </c>
      <c r="D5" s="27">
        <f>C5/$C$9</f>
        <v>1.7384252161229095E-2</v>
      </c>
    </row>
    <row r="6" spans="2:4" x14ac:dyDescent="0.3">
      <c r="B6" s="6" t="s">
        <v>25</v>
      </c>
      <c r="C6" s="7">
        <f>GETPIVOTDATA("Revised Approved Budget",'Updated Pivot'!$A$28,"Area Served: Urban (Clark/Washoe), Rural or Statewide","Statewide")</f>
        <v>391990152.14000005</v>
      </c>
      <c r="D6" s="27">
        <f>C6/$C$9</f>
        <v>0.81443904318711791</v>
      </c>
    </row>
    <row r="7" spans="2:4" x14ac:dyDescent="0.3">
      <c r="B7" s="6" t="s">
        <v>584</v>
      </c>
      <c r="C7" s="7">
        <f>GETPIVOTDATA("Revised Approved Budget",'Updated Pivot'!$A$28,"Area Served: Urban (Clark/Washoe), Rural or Statewide","Washoe")</f>
        <v>14591605.85</v>
      </c>
      <c r="D7" s="27">
        <f>C7/$C$9</f>
        <v>3.0317020573499429E-2</v>
      </c>
    </row>
    <row r="8" spans="2:4" x14ac:dyDescent="0.3">
      <c r="B8" s="6" t="s">
        <v>14</v>
      </c>
      <c r="C8" s="7">
        <f>GETPIVOTDATA("Revised Approved Budget",'Updated Pivot'!$A$28,"Area Served: Urban (Clark/Washoe), Rural or Statewide","Urban (Clark/Washoe)")</f>
        <v>3888162</v>
      </c>
      <c r="D8" s="27">
        <f>C8/$C$9</f>
        <v>8.0784451388603452E-3</v>
      </c>
    </row>
    <row r="9" spans="2:4" ht="15" thickBot="1" x14ac:dyDescent="0.35">
      <c r="B9" s="2" t="s">
        <v>1027</v>
      </c>
      <c r="C9" s="20">
        <f>SUM(C4:C8)</f>
        <v>481300786.62000006</v>
      </c>
      <c r="D9" s="28">
        <f>SUM(D4:D8)</f>
        <v>1</v>
      </c>
    </row>
    <row r="10" spans="2:4" ht="15" thickTop="1" x14ac:dyDescent="0.3"/>
    <row r="26" spans="2:4" x14ac:dyDescent="0.3">
      <c r="B26" s="16" t="s">
        <v>1028</v>
      </c>
      <c r="C26" s="25" t="s">
        <v>1025</v>
      </c>
      <c r="D26" s="16" t="s">
        <v>1026</v>
      </c>
    </row>
    <row r="27" spans="2:4" x14ac:dyDescent="0.3">
      <c r="B27" s="6" t="s">
        <v>232</v>
      </c>
      <c r="C27" s="7">
        <f>GETPIVOTDATA("Revised Approved Budget",'Updated Pivot'!$A$37,"Topic Area: Behavioral Health (Adult or Children); Infrastructure; Public Health; Workforce; Other","Behavioral Health (Adult/Children)")</f>
        <v>108882460.05999999</v>
      </c>
      <c r="D27" s="29">
        <f>C27/$C$33</f>
        <v>0.22622539394677044</v>
      </c>
    </row>
    <row r="28" spans="2:4" x14ac:dyDescent="0.3">
      <c r="B28" s="6" t="s">
        <v>660</v>
      </c>
      <c r="C28" s="7">
        <f>GETPIVOTDATA("Revised Approved Budget",'Updated Pivot'!$A$37,"Topic Area: Behavioral Health (Adult or Children); Infrastructure; Public Health; Workforce; Other","Child Care")</f>
        <v>80044280</v>
      </c>
      <c r="D28" s="29">
        <f t="shared" ref="D28:D32" si="0">C28/$C$33</f>
        <v>0.16630822601002132</v>
      </c>
    </row>
    <row r="29" spans="2:4" x14ac:dyDescent="0.3">
      <c r="B29" s="6" t="s">
        <v>122</v>
      </c>
      <c r="C29" s="7">
        <f>GETPIVOTDATA("Revised Approved Budget",'Updated Pivot'!$A$37,"Topic Area: Behavioral Health (Adult or Children); Infrastructure; Public Health; Workforce; Other","Infrastructure")</f>
        <v>164844836.59999999</v>
      </c>
      <c r="D29" s="29">
        <f t="shared" si="0"/>
        <v>0.34249858130846872</v>
      </c>
    </row>
    <row r="30" spans="2:4" x14ac:dyDescent="0.3">
      <c r="B30" s="6" t="s">
        <v>133</v>
      </c>
      <c r="C30" s="7">
        <f>GETPIVOTDATA("Revised Approved Budget",'Updated Pivot'!$A$37,"Topic Area: Behavioral Health (Adult or Children); Infrastructure; Public Health; Workforce; Other","Public Health")</f>
        <v>67588002.25</v>
      </c>
      <c r="D30" s="29">
        <f t="shared" si="0"/>
        <v>0.14042778264429176</v>
      </c>
    </row>
    <row r="31" spans="2:4" x14ac:dyDescent="0.3">
      <c r="B31" s="6" t="s">
        <v>179</v>
      </c>
      <c r="C31" s="7">
        <f>GETPIVOTDATA("Revised Approved Budget",'Updated Pivot'!$A$37,"Topic Area: Behavioral Health (Adult or Children); Infrastructure; Public Health; Workforce; Other","Social Services")</f>
        <v>18423826.490000002</v>
      </c>
      <c r="D31" s="29">
        <f t="shared" si="0"/>
        <v>3.8279236191122445E-2</v>
      </c>
    </row>
    <row r="32" spans="2:4" x14ac:dyDescent="0.3">
      <c r="B32" s="6" t="s">
        <v>149</v>
      </c>
      <c r="C32" s="7">
        <f>GETPIVOTDATA("Revised Approved Budget",'Updated Pivot'!$A$37,"Topic Area: Behavioral Health (Adult or Children); Infrastructure; Public Health; Workforce; Other","Workforce")</f>
        <v>41517381.219999991</v>
      </c>
      <c r="D32" s="29">
        <f t="shared" si="0"/>
        <v>8.6260779899325388E-2</v>
      </c>
    </row>
    <row r="33" spans="2:4" ht="15" thickBot="1" x14ac:dyDescent="0.35">
      <c r="B33" s="2" t="s">
        <v>1027</v>
      </c>
      <c r="C33" s="20">
        <f>SUM(C27:C32)</f>
        <v>481300786.61999995</v>
      </c>
      <c r="D33" s="26">
        <f>SUM(D27:D32)</f>
        <v>1</v>
      </c>
    </row>
    <row r="34" spans="2:4" ht="15" thickTop="1" x14ac:dyDescent="0.3">
      <c r="B34" s="17"/>
      <c r="C34" s="18"/>
      <c r="D34" s="19"/>
    </row>
    <row r="50" spans="2:7" x14ac:dyDescent="0.3">
      <c r="B50" s="16" t="s">
        <v>1028</v>
      </c>
      <c r="C50" s="16"/>
      <c r="D50" s="16" t="s">
        <v>1026</v>
      </c>
    </row>
    <row r="51" spans="2:7" x14ac:dyDescent="0.3">
      <c r="B51" s="6" t="s">
        <v>232</v>
      </c>
      <c r="C51">
        <f>GETPIVOTDATA("Area Served: Urban (Clark/Washoe), Rural or Statewide",'Updated Pivot'!$A$16,"Completion Status","Completed","Topic Area: Behavioral Health (Adult or Children); Infrastructure; Public Health; Workforce; Other","Behavioral Health (Adult/Children)")</f>
        <v>27</v>
      </c>
      <c r="D51" s="8">
        <f>C51/$C$57</f>
        <v>0.3253012048192771</v>
      </c>
    </row>
    <row r="52" spans="2:7" x14ac:dyDescent="0.3">
      <c r="B52" s="6" t="s">
        <v>660</v>
      </c>
      <c r="C52">
        <f>GETPIVOTDATA("Area Served: Urban (Clark/Washoe), Rural or Statewide",'Updated Pivot'!$A$16,"Completion Status","Completed","Topic Area: Behavioral Health (Adult or Children); Infrastructure; Public Health; Workforce; Other","Child Care")</f>
        <v>2</v>
      </c>
      <c r="D52" s="8">
        <f t="shared" ref="D52:D56" si="1">C52/$C$57</f>
        <v>2.4096385542168676E-2</v>
      </c>
    </row>
    <row r="53" spans="2:7" x14ac:dyDescent="0.3">
      <c r="B53" s="6" t="s">
        <v>122</v>
      </c>
      <c r="C53">
        <f>GETPIVOTDATA("Area Served: Urban (Clark/Washoe), Rural or Statewide",'Updated Pivot'!$A$16,"Completion Status","Completed","Topic Area: Behavioral Health (Adult or Children); Infrastructure; Public Health; Workforce; Other","Infrastructure")</f>
        <v>16</v>
      </c>
      <c r="D53" s="8">
        <f t="shared" si="1"/>
        <v>0.19277108433734941</v>
      </c>
    </row>
    <row r="54" spans="2:7" x14ac:dyDescent="0.3">
      <c r="B54" s="6" t="s">
        <v>133</v>
      </c>
      <c r="C54">
        <f>GETPIVOTDATA("Area Served: Urban (Clark/Washoe), Rural or Statewide",'Updated Pivot'!$A$16,"Completion Status","Completed","Topic Area: Behavioral Health (Adult or Children); Infrastructure; Public Health; Workforce; Other","Public Health")</f>
        <v>9</v>
      </c>
      <c r="D54" s="8">
        <f t="shared" si="1"/>
        <v>0.10843373493975904</v>
      </c>
    </row>
    <row r="55" spans="2:7" x14ac:dyDescent="0.3">
      <c r="B55" s="6" t="s">
        <v>179</v>
      </c>
      <c r="C55">
        <f>GETPIVOTDATA("Area Served: Urban (Clark/Washoe), Rural or Statewide",'Updated Pivot'!$A$16,"Completion Status","Completed","Topic Area: Behavioral Health (Adult or Children); Infrastructure; Public Health; Workforce; Other","Social Services")</f>
        <v>16</v>
      </c>
      <c r="D55" s="8">
        <f t="shared" si="1"/>
        <v>0.19277108433734941</v>
      </c>
    </row>
    <row r="56" spans="2:7" x14ac:dyDescent="0.3">
      <c r="B56" s="6" t="s">
        <v>149</v>
      </c>
      <c r="C56">
        <f>GETPIVOTDATA("Area Served: Urban (Clark/Washoe), Rural or Statewide",'Updated Pivot'!$A$16,"Completion Status","Completed","Topic Area: Behavioral Health (Adult or Children); Infrastructure; Public Health; Workforce; Other","Workforce")</f>
        <v>13</v>
      </c>
      <c r="D56" s="8">
        <f t="shared" si="1"/>
        <v>0.15662650602409639</v>
      </c>
    </row>
    <row r="57" spans="2:7" ht="15" thickBot="1" x14ac:dyDescent="0.35">
      <c r="B57" s="10" t="s">
        <v>1029</v>
      </c>
      <c r="C57" s="14">
        <f>SUM(C51:C56)</f>
        <v>83</v>
      </c>
      <c r="D57" s="15">
        <f>SUM(D51:D56)</f>
        <v>1</v>
      </c>
    </row>
    <row r="58" spans="2:7" ht="15" thickTop="1" x14ac:dyDescent="0.3"/>
    <row r="59" spans="2:7" ht="28.8" x14ac:dyDescent="0.3">
      <c r="C59" s="3" t="s">
        <v>105</v>
      </c>
      <c r="D59" s="16" t="s">
        <v>1030</v>
      </c>
      <c r="E59" s="3" t="s">
        <v>1031</v>
      </c>
      <c r="F59" s="12" t="s">
        <v>1032</v>
      </c>
      <c r="G59" s="12" t="s">
        <v>1033</v>
      </c>
    </row>
    <row r="60" spans="2:7" x14ac:dyDescent="0.3">
      <c r="B60" s="6" t="s">
        <v>1034</v>
      </c>
      <c r="C60" s="7">
        <f>GETPIVOTDATA("Sum of Revised Approved Budget",'Updated Pivot'!$A$48,"Agency",400)</f>
        <v>15285297.189999999</v>
      </c>
      <c r="D60" s="108">
        <f>C60/$C$65</f>
        <v>3.1765740360367951E-2</v>
      </c>
      <c r="E60" s="109">
        <f>GETPIVOTDATA("Sum of Total Expended
DO NOT HARDCODE",'Updated Pivot'!$A$48,"Agency",400)</f>
        <v>10001108.910000002</v>
      </c>
      <c r="F60" s="8">
        <f>E60/$E$65</f>
        <v>3.0044178970065942E-2</v>
      </c>
      <c r="G60" s="8">
        <f>E60/C60</f>
        <v>0.6542960065273028</v>
      </c>
    </row>
    <row r="61" spans="2:7" x14ac:dyDescent="0.3">
      <c r="B61" s="6" t="s">
        <v>1035</v>
      </c>
      <c r="C61" s="7">
        <f>GETPIVOTDATA("Sum of Revised Approved Budget",'Updated Pivot'!$A$48,"Agency",402)</f>
        <v>46886598.859999999</v>
      </c>
      <c r="D61" s="108">
        <f>C61/$C$65</f>
        <v>9.7439225894925763E-2</v>
      </c>
      <c r="E61" s="109">
        <f>GETPIVOTDATA("Sum of Total Expended
DO NOT HARDCODE",'Updated Pivot'!$A$48,"Agency",402)</f>
        <v>28973417.340000004</v>
      </c>
      <c r="F61" s="8">
        <f>E61/$E$65</f>
        <v>8.7038601796145407E-2</v>
      </c>
      <c r="G61" s="8">
        <f t="shared" ref="G61:G64" si="2">E61/C61</f>
        <v>0.61794666374740759</v>
      </c>
    </row>
    <row r="62" spans="2:7" x14ac:dyDescent="0.3">
      <c r="B62" s="6" t="s">
        <v>1036</v>
      </c>
      <c r="C62" s="7">
        <f>GETPIVOTDATA("Sum of Revised Approved Budget",'Updated Pivot'!$A$48,"Agency",406)</f>
        <v>172409846.94999999</v>
      </c>
      <c r="D62" s="108">
        <f>C62/$C$65</f>
        <v>0.35830029116918177</v>
      </c>
      <c r="E62" s="109">
        <f>GETPIVOTDATA("Sum of Total Expended
DO NOT HARDCODE",'Updated Pivot'!$A$48,"Agency",406)</f>
        <v>125282107.66999999</v>
      </c>
      <c r="F62" s="8">
        <f>E62/$E$65</f>
        <v>0.37635807173552216</v>
      </c>
      <c r="G62" s="8">
        <f t="shared" si="2"/>
        <v>0.72665285589130324</v>
      </c>
    </row>
    <row r="63" spans="2:7" x14ac:dyDescent="0.3">
      <c r="B63" s="6" t="s">
        <v>1037</v>
      </c>
      <c r="C63" s="7">
        <f>GETPIVOTDATA("Sum of Revised Approved Budget",'Updated Pivot'!$A$48,"Agency",407)</f>
        <v>145514608</v>
      </c>
      <c r="D63" s="108">
        <f>C63/$C$65</f>
        <v>0.30240689460671988</v>
      </c>
      <c r="E63" s="109">
        <f>GETPIVOTDATA("Sum of Total Expended
DO NOT HARDCODE",'Updated Pivot'!$A$48,"Agency",407)</f>
        <v>112115443.63</v>
      </c>
      <c r="F63" s="8">
        <f>E63/$E$65</f>
        <v>0.3368042968075286</v>
      </c>
      <c r="G63" s="8">
        <f t="shared" si="2"/>
        <v>0.77047552249874451</v>
      </c>
    </row>
    <row r="64" spans="2:7" x14ac:dyDescent="0.3">
      <c r="B64" s="6" t="s">
        <v>1038</v>
      </c>
      <c r="C64" s="7">
        <f>GETPIVOTDATA("Sum of Revised Approved Budget",'Updated Pivot'!$A$48,"Agency",409)</f>
        <v>101091778.61999999</v>
      </c>
      <c r="D64" s="108">
        <f>C64/$C$65</f>
        <v>0.21008784796880459</v>
      </c>
      <c r="E64" s="109">
        <f>GETPIVOTDATA("Sum of Total Expended
DO NOT HARDCODE",'Updated Pivot'!$A$48,"Agency",409)</f>
        <v>56508009.469999991</v>
      </c>
      <c r="F64" s="8">
        <f>E64/$E$65</f>
        <v>0.16975485069073809</v>
      </c>
      <c r="G64" s="8">
        <f t="shared" si="2"/>
        <v>0.55897730004742885</v>
      </c>
    </row>
    <row r="65" spans="2:7" ht="15" thickBot="1" x14ac:dyDescent="0.35">
      <c r="B65" s="10" t="s">
        <v>1029</v>
      </c>
      <c r="C65" s="30">
        <f>SUM(C60:C64)</f>
        <v>481188129.62</v>
      </c>
      <c r="D65" s="15">
        <f>SUM(D60:D64)</f>
        <v>1</v>
      </c>
      <c r="E65" s="31">
        <f>SUM(E60:E64)</f>
        <v>332880087.01999992</v>
      </c>
      <c r="F65" s="15">
        <f>SUM(F60:F64)</f>
        <v>1.0000000000000002</v>
      </c>
      <c r="G65" s="8"/>
    </row>
    <row r="66" spans="2:7" ht="15" thickTop="1" x14ac:dyDescent="0.3">
      <c r="D66" s="7"/>
    </row>
    <row r="67" spans="2:7" x14ac:dyDescent="0.3">
      <c r="B67" s="33" t="s">
        <v>1039</v>
      </c>
    </row>
    <row r="68" spans="2:7" x14ac:dyDescent="0.3">
      <c r="B68" s="6" t="s">
        <v>232</v>
      </c>
      <c r="C68">
        <f>GETPIVOTDATA("Area Served: Urban (Clark/Washoe), Rural or Statewide",'Updated Pivot'!$A$16,"Completion Status","Completed","Topic Area: Behavioral Health (Adult or Children); Infrastructure; Public Health; Workforce; Other","Behavioral Health (Adult/Children)")</f>
        <v>27</v>
      </c>
      <c r="D68" s="8">
        <f t="shared" ref="D68:D73" si="3">C68/$C$74</f>
        <v>0.3253012048192771</v>
      </c>
    </row>
    <row r="69" spans="2:7" x14ac:dyDescent="0.3">
      <c r="B69" s="6" t="s">
        <v>660</v>
      </c>
      <c r="C69">
        <f>GETPIVOTDATA("Area Served: Urban (Clark/Washoe), Rural or Statewide",'Updated Pivot'!$A$16,"Completion Status","Completed","Topic Area: Behavioral Health (Adult or Children); Infrastructure; Public Health; Workforce; Other","Child Care")</f>
        <v>2</v>
      </c>
      <c r="D69" s="8">
        <f t="shared" si="3"/>
        <v>2.4096385542168676E-2</v>
      </c>
    </row>
    <row r="70" spans="2:7" x14ac:dyDescent="0.3">
      <c r="B70" s="6" t="s">
        <v>122</v>
      </c>
      <c r="C70">
        <f>GETPIVOTDATA("Area Served: Urban (Clark/Washoe), Rural or Statewide",'Updated Pivot'!$A$16,"Completion Status","Completed","Topic Area: Behavioral Health (Adult or Children); Infrastructure; Public Health; Workforce; Other","Infrastructure")</f>
        <v>16</v>
      </c>
      <c r="D70" s="8">
        <f t="shared" si="3"/>
        <v>0.19277108433734941</v>
      </c>
    </row>
    <row r="71" spans="2:7" x14ac:dyDescent="0.3">
      <c r="B71" s="6" t="s">
        <v>133</v>
      </c>
      <c r="C71">
        <f>GETPIVOTDATA("Area Served: Urban (Clark/Washoe), Rural or Statewide",'Updated Pivot'!$A$16,"Completion Status","Completed","Topic Area: Behavioral Health (Adult or Children); Infrastructure; Public Health; Workforce; Other","Public Health")</f>
        <v>9</v>
      </c>
      <c r="D71" s="8">
        <f t="shared" si="3"/>
        <v>0.10843373493975904</v>
      </c>
    </row>
    <row r="72" spans="2:7" x14ac:dyDescent="0.3">
      <c r="B72" s="6" t="s">
        <v>179</v>
      </c>
      <c r="C72">
        <f>GETPIVOTDATA("Area Served: Urban (Clark/Washoe), Rural or Statewide",'Updated Pivot'!$A$16,"Completion Status","Completed","Topic Area: Behavioral Health (Adult or Children); Infrastructure; Public Health; Workforce; Other","Social Services")</f>
        <v>16</v>
      </c>
      <c r="D72" s="8">
        <f t="shared" si="3"/>
        <v>0.19277108433734941</v>
      </c>
    </row>
    <row r="73" spans="2:7" x14ac:dyDescent="0.3">
      <c r="B73" s="6" t="s">
        <v>149</v>
      </c>
      <c r="C73">
        <f>GETPIVOTDATA("Area Served: Urban (Clark/Washoe), Rural or Statewide",'Updated Pivot'!$A$16,"Completion Status","Completed","Topic Area: Behavioral Health (Adult or Children); Infrastructure; Public Health; Workforce; Other","Workforce")</f>
        <v>13</v>
      </c>
      <c r="D73" s="8">
        <f t="shared" si="3"/>
        <v>0.15662650602409639</v>
      </c>
    </row>
    <row r="74" spans="2:7" ht="15" thickBot="1" x14ac:dyDescent="0.35">
      <c r="B74" s="10" t="s">
        <v>1029</v>
      </c>
      <c r="C74" s="14">
        <f>SUM(C68:C73)</f>
        <v>83</v>
      </c>
      <c r="D74" s="8">
        <f>SUM(D68:D73)</f>
        <v>1</v>
      </c>
    </row>
  </sheetData>
  <pageMargins left="0.7" right="0.7" top="0.75" bottom="0.75" header="0.3" footer="0.3"/>
  <pageSetup scale="83" orientation="portrait" r:id="rId1"/>
  <rowBreaks count="1" manualBreakCount="1">
    <brk id="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3F2D-E3C2-4BE2-B451-C673EF41793A}">
  <dimension ref="A1:AL27"/>
  <sheetViews>
    <sheetView workbookViewId="0">
      <selection activeCell="A3" sqref="A3:AL27"/>
    </sheetView>
  </sheetViews>
  <sheetFormatPr defaultRowHeight="14.4" x14ac:dyDescent="0.3"/>
  <cols>
    <col min="1" max="1" width="9.6640625" bestFit="1" customWidth="1"/>
    <col min="2" max="2" width="11.5546875" bestFit="1" customWidth="1"/>
    <col min="3" max="3" width="123.44140625" bestFit="1" customWidth="1"/>
    <col min="4" max="4" width="17.33203125" bestFit="1" customWidth="1"/>
    <col min="5" max="5" width="18.88671875" bestFit="1" customWidth="1"/>
    <col min="6" max="6" width="18" bestFit="1" customWidth="1"/>
    <col min="7" max="7" width="26.6640625" bestFit="1" customWidth="1"/>
    <col min="8" max="8" width="27.109375" bestFit="1" customWidth="1"/>
    <col min="9" max="9" width="22.6640625" bestFit="1" customWidth="1"/>
    <col min="10" max="10" width="18.5546875" bestFit="1" customWidth="1"/>
    <col min="11" max="11" width="23.109375" bestFit="1" customWidth="1"/>
    <col min="12" max="12" width="43.44140625" bestFit="1" customWidth="1"/>
    <col min="13" max="13" width="27.44140625" bestFit="1" customWidth="1"/>
    <col min="14" max="14" width="27.88671875" bestFit="1" customWidth="1"/>
    <col min="15" max="15" width="27.33203125" bestFit="1" customWidth="1"/>
    <col min="16" max="16" width="32.88671875" bestFit="1" customWidth="1"/>
    <col min="17" max="20" width="255.6640625" bestFit="1" customWidth="1"/>
    <col min="21" max="21" width="24.88671875" bestFit="1" customWidth="1"/>
    <col min="22" max="22" width="30.88671875" bestFit="1" customWidth="1"/>
    <col min="23" max="23" width="53.5546875" bestFit="1" customWidth="1"/>
    <col min="24" max="24" width="37.5546875" bestFit="1" customWidth="1"/>
    <col min="25" max="25" width="22.109375" bestFit="1" customWidth="1"/>
    <col min="26" max="26" width="33.88671875" bestFit="1" customWidth="1"/>
    <col min="27" max="27" width="36.33203125" bestFit="1" customWidth="1"/>
    <col min="28" max="28" width="14.109375" bestFit="1" customWidth="1"/>
    <col min="29" max="29" width="63.6640625" bestFit="1" customWidth="1"/>
    <col min="30" max="30" width="26.5546875" bestFit="1" customWidth="1"/>
    <col min="31" max="31" width="66" bestFit="1" customWidth="1"/>
    <col min="32" max="32" width="41.5546875" bestFit="1" customWidth="1"/>
    <col min="33" max="33" width="79.109375" bestFit="1" customWidth="1"/>
    <col min="34" max="34" width="45.6640625" bestFit="1" customWidth="1"/>
    <col min="35" max="35" width="54.88671875" bestFit="1" customWidth="1"/>
    <col min="36" max="36" width="45.6640625" bestFit="1" customWidth="1"/>
    <col min="37" max="37" width="53.5546875" bestFit="1" customWidth="1"/>
    <col min="38" max="38" width="91.44140625" bestFit="1" customWidth="1"/>
  </cols>
  <sheetData>
    <row r="1" spans="1:38" ht="129.6" x14ac:dyDescent="0.3">
      <c r="A1" s="3" t="s">
        <v>1040</v>
      </c>
    </row>
    <row r="3" spans="1:38" x14ac:dyDescent="0.3">
      <c r="A3" t="s">
        <v>77</v>
      </c>
      <c r="B3" t="s">
        <v>78</v>
      </c>
      <c r="C3" t="s">
        <v>76</v>
      </c>
      <c r="D3" t="s">
        <v>79</v>
      </c>
      <c r="E3" t="s">
        <v>80</v>
      </c>
      <c r="F3" t="s">
        <v>81</v>
      </c>
      <c r="G3" t="s">
        <v>82</v>
      </c>
      <c r="H3" t="s">
        <v>83</v>
      </c>
      <c r="I3" t="s">
        <v>84</v>
      </c>
      <c r="J3" t="s">
        <v>85</v>
      </c>
      <c r="K3" t="s">
        <v>86</v>
      </c>
      <c r="L3" t="s">
        <v>87</v>
      </c>
      <c r="M3" t="s">
        <v>88</v>
      </c>
      <c r="N3" t="s">
        <v>89</v>
      </c>
      <c r="O3" t="s">
        <v>90</v>
      </c>
      <c r="P3" t="s">
        <v>91</v>
      </c>
      <c r="Q3" t="s">
        <v>92</v>
      </c>
      <c r="R3" t="s">
        <v>93</v>
      </c>
      <c r="S3" t="s">
        <v>94</v>
      </c>
      <c r="T3" t="s">
        <v>95</v>
      </c>
      <c r="U3" t="s">
        <v>96</v>
      </c>
      <c r="V3" t="s">
        <v>97</v>
      </c>
      <c r="W3" t="s">
        <v>1041</v>
      </c>
      <c r="X3" t="s">
        <v>99</v>
      </c>
      <c r="Y3" t="s">
        <v>100</v>
      </c>
      <c r="Z3" t="s">
        <v>1042</v>
      </c>
      <c r="AA3" t="s">
        <v>102</v>
      </c>
      <c r="AB3" t="s">
        <v>103</v>
      </c>
      <c r="AC3" t="s">
        <v>104</v>
      </c>
      <c r="AD3" t="s">
        <v>105</v>
      </c>
      <c r="AE3" t="s">
        <v>106</v>
      </c>
      <c r="AF3" t="s">
        <v>107</v>
      </c>
      <c r="AG3" t="s">
        <v>108</v>
      </c>
      <c r="AH3" t="s">
        <v>109</v>
      </c>
      <c r="AI3" t="s">
        <v>110</v>
      </c>
      <c r="AJ3" t="s">
        <v>111</v>
      </c>
      <c r="AK3" t="s">
        <v>112</v>
      </c>
      <c r="AL3" t="s">
        <v>113</v>
      </c>
    </row>
    <row r="4" spans="1:38" x14ac:dyDescent="0.3">
      <c r="A4">
        <v>402</v>
      </c>
      <c r="B4" t="s">
        <v>208</v>
      </c>
      <c r="C4" t="s">
        <v>209</v>
      </c>
      <c r="D4">
        <v>3278</v>
      </c>
      <c r="E4" s="4">
        <v>45383</v>
      </c>
      <c r="F4" s="4">
        <v>45657</v>
      </c>
      <c r="G4">
        <v>274</v>
      </c>
      <c r="H4">
        <v>0.11</v>
      </c>
      <c r="I4">
        <v>118560</v>
      </c>
      <c r="L4">
        <v>118560</v>
      </c>
      <c r="M4">
        <v>118560</v>
      </c>
      <c r="N4" t="s">
        <v>210</v>
      </c>
      <c r="O4">
        <v>118560</v>
      </c>
      <c r="P4" t="s">
        <v>211</v>
      </c>
      <c r="Q4" t="s">
        <v>212</v>
      </c>
      <c r="R4" t="s">
        <v>213</v>
      </c>
      <c r="S4" t="s">
        <v>214</v>
      </c>
      <c r="T4" t="s">
        <v>1043</v>
      </c>
      <c r="U4" t="s">
        <v>646</v>
      </c>
      <c r="V4">
        <v>116253.72</v>
      </c>
      <c r="W4">
        <v>0</v>
      </c>
      <c r="X4">
        <v>116253.72</v>
      </c>
      <c r="Y4">
        <v>116253.72</v>
      </c>
      <c r="Z4">
        <v>0</v>
      </c>
      <c r="AA4">
        <v>116253.72</v>
      </c>
      <c r="AB4">
        <v>0.98054757085020239</v>
      </c>
      <c r="AC4">
        <v>0</v>
      </c>
      <c r="AD4">
        <v>118560</v>
      </c>
      <c r="AE4">
        <v>0</v>
      </c>
      <c r="AF4">
        <v>2306.2799999999988</v>
      </c>
      <c r="AG4" t="s">
        <v>216</v>
      </c>
      <c r="AH4" t="s">
        <v>21</v>
      </c>
      <c r="AI4" t="s">
        <v>15</v>
      </c>
      <c r="AJ4" t="s">
        <v>15</v>
      </c>
      <c r="AK4" t="s">
        <v>25</v>
      </c>
      <c r="AL4" t="s">
        <v>122</v>
      </c>
    </row>
    <row r="5" spans="1:38" x14ac:dyDescent="0.3">
      <c r="A5">
        <v>402</v>
      </c>
      <c r="B5" t="s">
        <v>311</v>
      </c>
      <c r="C5" t="s">
        <v>312</v>
      </c>
      <c r="D5" t="s">
        <v>254</v>
      </c>
      <c r="E5" s="4">
        <v>44854</v>
      </c>
      <c r="F5" s="4">
        <v>46387</v>
      </c>
      <c r="G5">
        <v>1533</v>
      </c>
      <c r="H5">
        <v>0.63013698630136983</v>
      </c>
      <c r="I5">
        <v>1646881</v>
      </c>
      <c r="J5">
        <v>-500000</v>
      </c>
      <c r="L5">
        <v>1146881</v>
      </c>
      <c r="M5">
        <v>1646881</v>
      </c>
      <c r="N5">
        <v>-500000</v>
      </c>
      <c r="O5">
        <v>1646881</v>
      </c>
      <c r="P5" t="s">
        <v>313</v>
      </c>
      <c r="Q5" t="s">
        <v>314</v>
      </c>
      <c r="R5" t="s">
        <v>315</v>
      </c>
      <c r="S5" t="s">
        <v>316</v>
      </c>
      <c r="T5" t="s">
        <v>1044</v>
      </c>
      <c r="U5" t="s">
        <v>17</v>
      </c>
      <c r="V5">
        <v>1146215.21</v>
      </c>
      <c r="W5">
        <v>0</v>
      </c>
      <c r="X5">
        <v>1146215.21</v>
      </c>
      <c r="Y5">
        <v>561949.42999999993</v>
      </c>
      <c r="Z5">
        <v>38615.599999999999</v>
      </c>
      <c r="AA5">
        <v>600565.02999999991</v>
      </c>
      <c r="AB5">
        <v>0</v>
      </c>
      <c r="AC5">
        <v>-500000</v>
      </c>
      <c r="AD5">
        <v>1146881</v>
      </c>
      <c r="AE5">
        <v>500000</v>
      </c>
      <c r="AF5">
        <v>665.79000000003725</v>
      </c>
      <c r="AG5" t="s">
        <v>121</v>
      </c>
      <c r="AH5" t="s">
        <v>21</v>
      </c>
      <c r="AI5" t="s">
        <v>15</v>
      </c>
      <c r="AJ5" t="s">
        <v>15</v>
      </c>
      <c r="AK5" t="s">
        <v>25</v>
      </c>
      <c r="AL5" t="s">
        <v>149</v>
      </c>
    </row>
    <row r="6" spans="1:38" x14ac:dyDescent="0.3">
      <c r="A6">
        <v>402</v>
      </c>
      <c r="B6" t="s">
        <v>304</v>
      </c>
      <c r="C6" t="s">
        <v>305</v>
      </c>
      <c r="D6" t="s">
        <v>254</v>
      </c>
      <c r="E6" s="4">
        <v>44854</v>
      </c>
      <c r="F6" s="4">
        <v>46022</v>
      </c>
      <c r="G6">
        <v>1168</v>
      </c>
      <c r="H6">
        <v>0.82705479452054798</v>
      </c>
      <c r="I6">
        <v>4000000</v>
      </c>
      <c r="J6">
        <v>0</v>
      </c>
      <c r="L6">
        <v>4000000</v>
      </c>
      <c r="M6">
        <v>4000000</v>
      </c>
      <c r="N6">
        <v>0</v>
      </c>
      <c r="O6">
        <v>4000000</v>
      </c>
      <c r="P6" t="s">
        <v>306</v>
      </c>
      <c r="Q6" t="s">
        <v>307</v>
      </c>
      <c r="R6" t="s">
        <v>308</v>
      </c>
      <c r="S6" t="s">
        <v>309</v>
      </c>
      <c r="T6" t="s">
        <v>1045</v>
      </c>
      <c r="U6" t="s">
        <v>17</v>
      </c>
      <c r="V6">
        <v>4000000</v>
      </c>
      <c r="W6">
        <v>0</v>
      </c>
      <c r="X6">
        <v>4000000</v>
      </c>
      <c r="Y6">
        <v>1844118.96</v>
      </c>
      <c r="Z6">
        <v>221661.9</v>
      </c>
      <c r="AA6">
        <v>2065780.8599999999</v>
      </c>
      <c r="AB6">
        <v>0.51644521499999996</v>
      </c>
      <c r="AC6">
        <v>0</v>
      </c>
      <c r="AD6">
        <v>4000000</v>
      </c>
      <c r="AE6">
        <v>0</v>
      </c>
      <c r="AF6">
        <v>0</v>
      </c>
      <c r="AG6" t="s">
        <v>121</v>
      </c>
      <c r="AH6" t="s">
        <v>21</v>
      </c>
      <c r="AI6" t="s">
        <v>15</v>
      </c>
      <c r="AJ6" t="s">
        <v>15</v>
      </c>
      <c r="AK6" t="s">
        <v>25</v>
      </c>
      <c r="AL6" t="s">
        <v>122</v>
      </c>
    </row>
    <row r="7" spans="1:38" x14ac:dyDescent="0.3">
      <c r="A7">
        <v>402</v>
      </c>
      <c r="B7" t="s">
        <v>233</v>
      </c>
      <c r="C7" t="s">
        <v>234</v>
      </c>
      <c r="D7">
        <v>3279</v>
      </c>
      <c r="E7" s="4">
        <v>44854</v>
      </c>
      <c r="F7" s="4">
        <v>46022</v>
      </c>
      <c r="G7">
        <v>1168</v>
      </c>
      <c r="H7">
        <v>0.82705479452054798</v>
      </c>
      <c r="I7">
        <v>14520000</v>
      </c>
      <c r="J7">
        <v>-2000000</v>
      </c>
      <c r="L7">
        <v>12520000</v>
      </c>
      <c r="M7">
        <v>14520000</v>
      </c>
      <c r="N7">
        <v>-2000000</v>
      </c>
      <c r="O7">
        <v>14520000</v>
      </c>
      <c r="P7" t="s">
        <v>235</v>
      </c>
      <c r="Q7" t="s">
        <v>236</v>
      </c>
      <c r="R7" t="s">
        <v>237</v>
      </c>
      <c r="S7" t="s">
        <v>238</v>
      </c>
      <c r="T7" t="s">
        <v>1046</v>
      </c>
      <c r="U7" t="s">
        <v>17</v>
      </c>
      <c r="V7">
        <v>660149.75</v>
      </c>
      <c r="W7">
        <v>421663.14</v>
      </c>
      <c r="X7">
        <v>1081812.8900000001</v>
      </c>
      <c r="Y7">
        <v>660149.75</v>
      </c>
      <c r="Z7">
        <v>421663.14</v>
      </c>
      <c r="AA7">
        <v>1081812.8900000001</v>
      </c>
      <c r="AB7">
        <v>7.4505019972451805E-2</v>
      </c>
      <c r="AC7">
        <v>-2000000</v>
      </c>
      <c r="AD7">
        <v>12520000</v>
      </c>
      <c r="AE7">
        <v>2000000</v>
      </c>
      <c r="AF7">
        <v>0</v>
      </c>
      <c r="AG7" t="s">
        <v>121</v>
      </c>
      <c r="AH7">
        <v>0</v>
      </c>
      <c r="AI7" t="s">
        <v>15</v>
      </c>
      <c r="AJ7" t="s">
        <v>15</v>
      </c>
      <c r="AK7" t="s">
        <v>25</v>
      </c>
      <c r="AL7" t="s">
        <v>232</v>
      </c>
    </row>
    <row r="8" spans="1:38" x14ac:dyDescent="0.3">
      <c r="A8">
        <v>402</v>
      </c>
      <c r="B8" t="s">
        <v>260</v>
      </c>
      <c r="C8" t="s">
        <v>261</v>
      </c>
      <c r="D8" t="s">
        <v>254</v>
      </c>
      <c r="E8" s="4">
        <v>44854</v>
      </c>
      <c r="F8" s="4">
        <v>46387</v>
      </c>
      <c r="G8">
        <v>1533</v>
      </c>
      <c r="H8">
        <v>0.63013698630136983</v>
      </c>
      <c r="I8">
        <v>5000000</v>
      </c>
      <c r="J8">
        <v>-2000000</v>
      </c>
      <c r="L8">
        <v>3000000</v>
      </c>
      <c r="M8">
        <v>5000000</v>
      </c>
      <c r="N8">
        <v>-2000000</v>
      </c>
      <c r="O8">
        <v>5000000</v>
      </c>
      <c r="P8" t="s">
        <v>262</v>
      </c>
      <c r="Q8" t="s">
        <v>263</v>
      </c>
      <c r="R8" t="s">
        <v>264</v>
      </c>
      <c r="S8" t="s">
        <v>265</v>
      </c>
      <c r="T8" t="s">
        <v>266</v>
      </c>
      <c r="U8" t="s">
        <v>17</v>
      </c>
      <c r="V8">
        <v>3000000</v>
      </c>
      <c r="W8">
        <v>0</v>
      </c>
      <c r="X8">
        <v>3000000</v>
      </c>
      <c r="Y8">
        <v>180714.46</v>
      </c>
      <c r="Z8">
        <v>52633.9</v>
      </c>
      <c r="AA8">
        <v>233348.36</v>
      </c>
      <c r="AB8">
        <v>4.6669671999999995E-2</v>
      </c>
      <c r="AC8">
        <v>-2000000</v>
      </c>
      <c r="AD8">
        <v>3000000</v>
      </c>
      <c r="AE8">
        <v>2000000</v>
      </c>
      <c r="AF8">
        <v>0</v>
      </c>
      <c r="AG8" t="s">
        <v>121</v>
      </c>
      <c r="AH8" t="s">
        <v>21</v>
      </c>
      <c r="AI8" t="s">
        <v>15</v>
      </c>
      <c r="AJ8" t="s">
        <v>15</v>
      </c>
      <c r="AK8" t="s">
        <v>25</v>
      </c>
      <c r="AL8" t="s">
        <v>149</v>
      </c>
    </row>
    <row r="9" spans="1:38" ht="43.2" x14ac:dyDescent="0.3">
      <c r="A9">
        <v>402</v>
      </c>
      <c r="B9" t="s">
        <v>151</v>
      </c>
      <c r="C9" t="s">
        <v>152</v>
      </c>
      <c r="D9">
        <v>3151</v>
      </c>
      <c r="E9" s="4">
        <v>44854</v>
      </c>
      <c r="F9" s="4">
        <v>46387</v>
      </c>
      <c r="G9">
        <v>1533</v>
      </c>
      <c r="H9">
        <v>0.63013698630136983</v>
      </c>
      <c r="I9">
        <v>7500000</v>
      </c>
      <c r="J9">
        <v>0</v>
      </c>
      <c r="L9">
        <v>7500000</v>
      </c>
      <c r="M9">
        <v>7500000</v>
      </c>
      <c r="N9">
        <v>0</v>
      </c>
      <c r="O9">
        <v>7500000</v>
      </c>
      <c r="P9" t="s">
        <v>153</v>
      </c>
      <c r="Q9" t="s">
        <v>154</v>
      </c>
      <c r="R9" t="s">
        <v>155</v>
      </c>
      <c r="S9" t="s">
        <v>156</v>
      </c>
      <c r="T9" s="1" t="s">
        <v>1047</v>
      </c>
      <c r="U9" t="s">
        <v>17</v>
      </c>
      <c r="V9">
        <v>2501966.6</v>
      </c>
      <c r="W9">
        <v>0</v>
      </c>
      <c r="X9">
        <v>2501966.6</v>
      </c>
      <c r="Y9">
        <v>1646371.1900000002</v>
      </c>
      <c r="Z9">
        <v>156464</v>
      </c>
      <c r="AA9">
        <v>1802835.1900000002</v>
      </c>
      <c r="AB9">
        <v>0.24037802533333336</v>
      </c>
      <c r="AC9">
        <v>0</v>
      </c>
      <c r="AD9">
        <v>7500000</v>
      </c>
      <c r="AE9">
        <v>0</v>
      </c>
      <c r="AF9">
        <v>4998033.4000000004</v>
      </c>
      <c r="AG9" t="s">
        <v>121</v>
      </c>
      <c r="AH9" t="s">
        <v>21</v>
      </c>
      <c r="AI9" t="s">
        <v>15</v>
      </c>
      <c r="AJ9" t="s">
        <v>15</v>
      </c>
      <c r="AK9" t="s">
        <v>25</v>
      </c>
      <c r="AL9" t="s">
        <v>122</v>
      </c>
    </row>
    <row r="10" spans="1:38" x14ac:dyDescent="0.3">
      <c r="A10">
        <v>402</v>
      </c>
      <c r="B10" t="s">
        <v>195</v>
      </c>
      <c r="C10" t="s">
        <v>196</v>
      </c>
      <c r="D10">
        <v>3266</v>
      </c>
      <c r="E10" s="4">
        <v>44652</v>
      </c>
      <c r="F10" s="4">
        <v>45016</v>
      </c>
      <c r="G10">
        <v>364</v>
      </c>
      <c r="H10">
        <v>1</v>
      </c>
      <c r="I10">
        <v>25727.13</v>
      </c>
      <c r="J10">
        <v>-17398.259999999998</v>
      </c>
      <c r="K10">
        <v>0</v>
      </c>
      <c r="L10">
        <v>8328.8700000000026</v>
      </c>
      <c r="M10">
        <v>8328.8700000000008</v>
      </c>
      <c r="N10">
        <v>0</v>
      </c>
      <c r="O10">
        <v>25727.13</v>
      </c>
      <c r="P10" t="s">
        <v>197</v>
      </c>
      <c r="Q10" t="s">
        <v>198</v>
      </c>
      <c r="R10" t="s">
        <v>199</v>
      </c>
      <c r="S10" t="s">
        <v>200</v>
      </c>
      <c r="T10" t="s">
        <v>1048</v>
      </c>
      <c r="U10" t="s">
        <v>26</v>
      </c>
      <c r="V10">
        <v>8328.8700000000008</v>
      </c>
      <c r="W10">
        <v>0</v>
      </c>
      <c r="X10">
        <v>8328.8700000000008</v>
      </c>
      <c r="Y10">
        <v>8328.8700000000008</v>
      </c>
      <c r="Z10">
        <v>0</v>
      </c>
      <c r="AA10">
        <v>8328.8700000000008</v>
      </c>
      <c r="AB10">
        <v>0.32373879247315968</v>
      </c>
      <c r="AC10">
        <v>-17398.259999999998</v>
      </c>
      <c r="AD10">
        <v>8328.8700000000026</v>
      </c>
      <c r="AE10">
        <v>0</v>
      </c>
      <c r="AF10">
        <v>0</v>
      </c>
      <c r="AG10" t="s">
        <v>121</v>
      </c>
      <c r="AH10">
        <v>1708</v>
      </c>
      <c r="AI10" t="s">
        <v>15</v>
      </c>
      <c r="AJ10" t="s">
        <v>15</v>
      </c>
      <c r="AK10" t="s">
        <v>20</v>
      </c>
      <c r="AL10" t="s">
        <v>179</v>
      </c>
    </row>
    <row r="11" spans="1:38" x14ac:dyDescent="0.3">
      <c r="A11">
        <v>402</v>
      </c>
      <c r="B11" t="s">
        <v>252</v>
      </c>
      <c r="C11" t="s">
        <v>253</v>
      </c>
      <c r="D11" t="s">
        <v>254</v>
      </c>
      <c r="E11" s="4">
        <v>44734</v>
      </c>
      <c r="F11" s="4">
        <v>45473</v>
      </c>
      <c r="G11">
        <v>739</v>
      </c>
      <c r="H11">
        <v>1</v>
      </c>
      <c r="I11">
        <v>10936</v>
      </c>
      <c r="J11">
        <v>0</v>
      </c>
      <c r="K11">
        <v>0</v>
      </c>
      <c r="L11">
        <v>10936</v>
      </c>
      <c r="M11">
        <v>10936</v>
      </c>
      <c r="N11">
        <v>0</v>
      </c>
      <c r="O11">
        <v>10936</v>
      </c>
      <c r="P11" t="s">
        <v>255</v>
      </c>
      <c r="Q11" t="s">
        <v>256</v>
      </c>
      <c r="R11" t="s">
        <v>257</v>
      </c>
      <c r="S11" t="s">
        <v>258</v>
      </c>
      <c r="T11" t="s">
        <v>1049</v>
      </c>
      <c r="U11" t="s">
        <v>26</v>
      </c>
      <c r="V11">
        <v>10936</v>
      </c>
      <c r="W11">
        <v>0</v>
      </c>
      <c r="X11">
        <v>10936</v>
      </c>
      <c r="Y11">
        <v>10936</v>
      </c>
      <c r="Z11">
        <v>0</v>
      </c>
      <c r="AA11">
        <v>10936</v>
      </c>
      <c r="AB11">
        <v>1</v>
      </c>
      <c r="AC11">
        <v>0</v>
      </c>
      <c r="AD11">
        <v>10936</v>
      </c>
      <c r="AE11">
        <v>0</v>
      </c>
      <c r="AF11">
        <v>0</v>
      </c>
      <c r="AG11" t="s">
        <v>121</v>
      </c>
      <c r="AH11">
        <v>40</v>
      </c>
      <c r="AI11" t="s">
        <v>15</v>
      </c>
      <c r="AJ11" t="s">
        <v>15</v>
      </c>
      <c r="AK11" t="s">
        <v>20</v>
      </c>
      <c r="AL11" t="s">
        <v>179</v>
      </c>
    </row>
    <row r="12" spans="1:38" x14ac:dyDescent="0.3">
      <c r="A12">
        <v>402</v>
      </c>
      <c r="B12" t="s">
        <v>202</v>
      </c>
      <c r="C12" t="s">
        <v>203</v>
      </c>
      <c r="D12">
        <v>3266</v>
      </c>
      <c r="E12" s="4">
        <v>44652</v>
      </c>
      <c r="F12" s="4">
        <v>45016</v>
      </c>
      <c r="G12">
        <v>364</v>
      </c>
      <c r="H12">
        <v>1</v>
      </c>
      <c r="I12">
        <v>626889.56999999995</v>
      </c>
      <c r="J12">
        <v>0</v>
      </c>
      <c r="K12">
        <v>0</v>
      </c>
      <c r="L12">
        <v>626889.56999999995</v>
      </c>
      <c r="M12">
        <v>626889.56999999995</v>
      </c>
      <c r="N12">
        <v>0</v>
      </c>
      <c r="O12">
        <v>626889.56999999995</v>
      </c>
      <c r="P12" t="s">
        <v>197</v>
      </c>
      <c r="Q12" t="s">
        <v>204</v>
      </c>
      <c r="R12" t="s">
        <v>205</v>
      </c>
      <c r="S12" t="s">
        <v>206</v>
      </c>
      <c r="T12" t="s">
        <v>1050</v>
      </c>
      <c r="U12" t="s">
        <v>26</v>
      </c>
      <c r="V12">
        <v>626889.56999999995</v>
      </c>
      <c r="W12">
        <v>0</v>
      </c>
      <c r="X12">
        <v>626889.56999999995</v>
      </c>
      <c r="Y12">
        <v>626889.56999999995</v>
      </c>
      <c r="Z12">
        <v>0</v>
      </c>
      <c r="AA12">
        <v>626889.56999999995</v>
      </c>
      <c r="AB12">
        <v>1</v>
      </c>
      <c r="AC12">
        <v>0</v>
      </c>
      <c r="AD12">
        <v>626889.56999999995</v>
      </c>
      <c r="AE12">
        <v>0</v>
      </c>
      <c r="AF12">
        <v>0</v>
      </c>
      <c r="AG12" t="s">
        <v>121</v>
      </c>
      <c r="AH12">
        <v>3485</v>
      </c>
      <c r="AI12" t="s">
        <v>15</v>
      </c>
      <c r="AJ12" t="s">
        <v>15</v>
      </c>
      <c r="AK12" t="s">
        <v>20</v>
      </c>
      <c r="AL12" t="s">
        <v>179</v>
      </c>
    </row>
    <row r="13" spans="1:38" x14ac:dyDescent="0.3">
      <c r="A13">
        <v>402</v>
      </c>
      <c r="B13" t="s">
        <v>172</v>
      </c>
      <c r="C13" t="s">
        <v>173</v>
      </c>
      <c r="D13">
        <v>3204</v>
      </c>
      <c r="E13" s="4">
        <v>44743</v>
      </c>
      <c r="F13" s="4">
        <v>45107</v>
      </c>
      <c r="G13">
        <v>364</v>
      </c>
      <c r="H13">
        <v>1</v>
      </c>
      <c r="I13">
        <v>173353</v>
      </c>
      <c r="J13">
        <v>0</v>
      </c>
      <c r="K13">
        <v>0</v>
      </c>
      <c r="L13">
        <v>173353</v>
      </c>
      <c r="M13">
        <v>173353</v>
      </c>
      <c r="N13">
        <v>0</v>
      </c>
      <c r="O13">
        <v>173353</v>
      </c>
      <c r="P13" t="s">
        <v>174</v>
      </c>
      <c r="Q13" t="s">
        <v>175</v>
      </c>
      <c r="R13" t="s">
        <v>176</v>
      </c>
      <c r="S13" t="s">
        <v>177</v>
      </c>
      <c r="T13" t="s">
        <v>178</v>
      </c>
      <c r="U13" t="s">
        <v>26</v>
      </c>
      <c r="V13">
        <v>173353</v>
      </c>
      <c r="W13">
        <v>0</v>
      </c>
      <c r="X13">
        <v>173353</v>
      </c>
      <c r="Y13">
        <v>173353</v>
      </c>
      <c r="Z13">
        <v>0</v>
      </c>
      <c r="AA13">
        <v>173353</v>
      </c>
      <c r="AB13">
        <v>1</v>
      </c>
      <c r="AC13">
        <v>0</v>
      </c>
      <c r="AD13">
        <v>173353</v>
      </c>
      <c r="AE13">
        <v>0</v>
      </c>
      <c r="AF13">
        <v>0</v>
      </c>
      <c r="AG13" t="s">
        <v>121</v>
      </c>
      <c r="AH13" t="s">
        <v>21</v>
      </c>
      <c r="AI13" t="s">
        <v>21</v>
      </c>
      <c r="AJ13" t="s">
        <v>15</v>
      </c>
      <c r="AK13" t="s">
        <v>25</v>
      </c>
      <c r="AL13" t="s">
        <v>179</v>
      </c>
    </row>
    <row r="14" spans="1:38" x14ac:dyDescent="0.3">
      <c r="A14">
        <v>402</v>
      </c>
      <c r="B14" t="s">
        <v>217</v>
      </c>
      <c r="C14" t="s">
        <v>218</v>
      </c>
      <c r="D14">
        <v>3279</v>
      </c>
      <c r="E14" s="4">
        <v>44791</v>
      </c>
      <c r="F14" s="4">
        <v>45473</v>
      </c>
      <c r="G14">
        <v>682</v>
      </c>
      <c r="H14">
        <v>1</v>
      </c>
      <c r="I14">
        <v>87690</v>
      </c>
      <c r="J14">
        <v>0</v>
      </c>
      <c r="K14">
        <v>0</v>
      </c>
      <c r="L14">
        <v>87690</v>
      </c>
      <c r="M14">
        <v>87690</v>
      </c>
      <c r="N14">
        <v>0</v>
      </c>
      <c r="O14">
        <v>87690</v>
      </c>
      <c r="P14" t="s">
        <v>219</v>
      </c>
      <c r="Q14" t="s">
        <v>220</v>
      </c>
      <c r="R14" t="s">
        <v>221</v>
      </c>
      <c r="S14" t="s">
        <v>222</v>
      </c>
      <c r="T14" t="s">
        <v>1051</v>
      </c>
      <c r="U14" t="s">
        <v>26</v>
      </c>
      <c r="V14">
        <v>79914.94</v>
      </c>
      <c r="X14">
        <v>79914.94</v>
      </c>
      <c r="Y14">
        <v>79914.94</v>
      </c>
      <c r="AA14">
        <v>79914.94</v>
      </c>
      <c r="AB14">
        <v>0.91133470179039799</v>
      </c>
      <c r="AC14">
        <v>0</v>
      </c>
      <c r="AD14">
        <v>87690</v>
      </c>
      <c r="AE14">
        <v>0</v>
      </c>
      <c r="AF14">
        <v>7775.0599999999977</v>
      </c>
      <c r="AG14" t="s">
        <v>121</v>
      </c>
      <c r="AH14">
        <v>12</v>
      </c>
      <c r="AI14" t="s">
        <v>15</v>
      </c>
      <c r="AJ14" t="s">
        <v>15</v>
      </c>
      <c r="AK14" t="s">
        <v>224</v>
      </c>
      <c r="AL14" t="s">
        <v>122</v>
      </c>
    </row>
    <row r="15" spans="1:38" x14ac:dyDescent="0.3">
      <c r="A15">
        <v>402</v>
      </c>
      <c r="B15" t="s">
        <v>225</v>
      </c>
      <c r="C15" t="s">
        <v>226</v>
      </c>
      <c r="D15">
        <v>3279</v>
      </c>
      <c r="E15" s="4">
        <v>44791</v>
      </c>
      <c r="F15" s="4">
        <v>45747</v>
      </c>
      <c r="G15">
        <v>956</v>
      </c>
      <c r="H15">
        <v>1</v>
      </c>
      <c r="I15">
        <v>8527243</v>
      </c>
      <c r="J15">
        <v>0</v>
      </c>
      <c r="K15">
        <v>0</v>
      </c>
      <c r="L15">
        <v>8527243</v>
      </c>
      <c r="M15">
        <v>8527243</v>
      </c>
      <c r="N15">
        <v>0</v>
      </c>
      <c r="O15">
        <v>8527243</v>
      </c>
      <c r="P15" t="s">
        <v>227</v>
      </c>
      <c r="Q15" t="s">
        <v>228</v>
      </c>
      <c r="R15" t="s">
        <v>229</v>
      </c>
      <c r="S15" t="s">
        <v>230</v>
      </c>
      <c r="T15" t="s">
        <v>1052</v>
      </c>
      <c r="U15" t="s">
        <v>26</v>
      </c>
      <c r="V15">
        <v>8527243</v>
      </c>
      <c r="W15">
        <v>0</v>
      </c>
      <c r="X15">
        <v>8527243</v>
      </c>
      <c r="Y15">
        <v>8527243</v>
      </c>
      <c r="AA15">
        <v>8527243</v>
      </c>
      <c r="AB15">
        <v>1</v>
      </c>
      <c r="AC15">
        <v>0</v>
      </c>
      <c r="AD15">
        <v>8527243</v>
      </c>
      <c r="AE15">
        <v>0</v>
      </c>
      <c r="AF15">
        <v>0</v>
      </c>
      <c r="AG15" t="s">
        <v>121</v>
      </c>
      <c r="AH15">
        <v>6143</v>
      </c>
      <c r="AI15" t="s">
        <v>15</v>
      </c>
      <c r="AJ15" t="s">
        <v>15</v>
      </c>
      <c r="AK15" t="s">
        <v>224</v>
      </c>
      <c r="AL15" t="s">
        <v>232</v>
      </c>
    </row>
    <row r="16" spans="1:38" x14ac:dyDescent="0.3">
      <c r="A16">
        <v>402</v>
      </c>
      <c r="B16" t="s">
        <v>180</v>
      </c>
      <c r="C16" t="s">
        <v>181</v>
      </c>
      <c r="D16">
        <v>3208</v>
      </c>
      <c r="E16" s="4">
        <v>44854</v>
      </c>
      <c r="F16" s="4">
        <v>45657</v>
      </c>
      <c r="G16">
        <v>803</v>
      </c>
      <c r="H16">
        <v>1</v>
      </c>
      <c r="I16">
        <v>199200</v>
      </c>
      <c r="L16">
        <v>199200</v>
      </c>
      <c r="M16">
        <v>199200</v>
      </c>
      <c r="N16">
        <v>0</v>
      </c>
      <c r="O16">
        <v>199200</v>
      </c>
      <c r="P16" t="s">
        <v>182</v>
      </c>
      <c r="Q16" t="s">
        <v>183</v>
      </c>
      <c r="R16" t="s">
        <v>1053</v>
      </c>
      <c r="S16" t="s">
        <v>185</v>
      </c>
      <c r="T16" t="s">
        <v>171</v>
      </c>
      <c r="U16" t="s">
        <v>26</v>
      </c>
      <c r="V16">
        <v>166050</v>
      </c>
      <c r="X16">
        <v>166050</v>
      </c>
      <c r="Y16">
        <v>166050</v>
      </c>
      <c r="AA16">
        <v>166050</v>
      </c>
      <c r="AB16">
        <v>0.83358433734939763</v>
      </c>
      <c r="AC16">
        <v>-33150</v>
      </c>
      <c r="AD16">
        <v>166050</v>
      </c>
      <c r="AE16">
        <v>33150</v>
      </c>
      <c r="AF16">
        <v>0</v>
      </c>
      <c r="AG16" t="s">
        <v>121</v>
      </c>
      <c r="AH16" t="s">
        <v>21</v>
      </c>
      <c r="AI16" t="s">
        <v>15</v>
      </c>
      <c r="AJ16" t="s">
        <v>15</v>
      </c>
      <c r="AK16" t="s">
        <v>25</v>
      </c>
      <c r="AL16" t="s">
        <v>122</v>
      </c>
    </row>
    <row r="17" spans="1:38" x14ac:dyDescent="0.3">
      <c r="A17">
        <v>402</v>
      </c>
      <c r="B17" t="s">
        <v>187</v>
      </c>
      <c r="C17" t="s">
        <v>188</v>
      </c>
      <c r="D17">
        <v>3208</v>
      </c>
      <c r="E17" s="4">
        <v>44790</v>
      </c>
      <c r="F17" s="4">
        <v>45154</v>
      </c>
      <c r="G17">
        <v>364</v>
      </c>
      <c r="H17">
        <v>1</v>
      </c>
      <c r="I17">
        <v>5201</v>
      </c>
      <c r="L17">
        <v>5201</v>
      </c>
      <c r="M17">
        <v>5201</v>
      </c>
      <c r="N17">
        <v>0</v>
      </c>
      <c r="O17">
        <v>5201</v>
      </c>
      <c r="P17" t="s">
        <v>189</v>
      </c>
      <c r="Q17" t="s">
        <v>190</v>
      </c>
      <c r="R17" t="s">
        <v>191</v>
      </c>
      <c r="S17" t="s">
        <v>192</v>
      </c>
      <c r="T17" t="s">
        <v>193</v>
      </c>
      <c r="U17" t="s">
        <v>26</v>
      </c>
      <c r="V17">
        <v>4276.04</v>
      </c>
      <c r="X17">
        <v>4276.04</v>
      </c>
      <c r="Y17">
        <v>4276.04</v>
      </c>
      <c r="AA17">
        <v>4276.04</v>
      </c>
      <c r="AB17">
        <v>0.82215727744664491</v>
      </c>
      <c r="AC17">
        <v>-924.96</v>
      </c>
      <c r="AD17">
        <v>4276.04</v>
      </c>
      <c r="AE17">
        <v>924.96</v>
      </c>
      <c r="AF17">
        <v>0</v>
      </c>
      <c r="AG17" t="s">
        <v>121</v>
      </c>
      <c r="AH17" t="s">
        <v>21</v>
      </c>
      <c r="AI17" t="s">
        <v>15</v>
      </c>
      <c r="AJ17" t="s">
        <v>15</v>
      </c>
      <c r="AK17" t="s">
        <v>25</v>
      </c>
      <c r="AL17" t="s">
        <v>122</v>
      </c>
    </row>
    <row r="18" spans="1:38" x14ac:dyDescent="0.3">
      <c r="A18">
        <v>402</v>
      </c>
      <c r="B18" t="s">
        <v>297</v>
      </c>
      <c r="C18" t="s">
        <v>298</v>
      </c>
      <c r="D18" t="s">
        <v>254</v>
      </c>
      <c r="E18" s="4">
        <v>44854</v>
      </c>
      <c r="F18" s="4">
        <v>45657</v>
      </c>
      <c r="G18">
        <v>803</v>
      </c>
      <c r="H18">
        <v>1</v>
      </c>
      <c r="I18">
        <v>1788960</v>
      </c>
      <c r="J18">
        <v>-1788960</v>
      </c>
      <c r="L18">
        <v>0</v>
      </c>
      <c r="N18">
        <v>0</v>
      </c>
      <c r="O18">
        <v>1788960</v>
      </c>
      <c r="P18" t="s">
        <v>299</v>
      </c>
      <c r="Q18" t="s">
        <v>300</v>
      </c>
      <c r="R18" t="s">
        <v>301</v>
      </c>
      <c r="S18" t="s">
        <v>302</v>
      </c>
      <c r="T18" t="s">
        <v>303</v>
      </c>
      <c r="U18" t="s">
        <v>26</v>
      </c>
      <c r="V18">
        <v>0</v>
      </c>
      <c r="W18">
        <v>0</v>
      </c>
      <c r="X18">
        <v>0</v>
      </c>
      <c r="Y18">
        <v>0</v>
      </c>
      <c r="Z18">
        <v>0</v>
      </c>
      <c r="AA18">
        <v>0</v>
      </c>
      <c r="AB18">
        <v>0</v>
      </c>
      <c r="AC18">
        <v>-1788960</v>
      </c>
      <c r="AD18">
        <v>0</v>
      </c>
      <c r="AE18">
        <v>0</v>
      </c>
      <c r="AF18">
        <v>0</v>
      </c>
      <c r="AG18" t="s">
        <v>21</v>
      </c>
      <c r="AH18" t="s">
        <v>21</v>
      </c>
      <c r="AI18" t="s">
        <v>21</v>
      </c>
      <c r="AJ18" t="s">
        <v>15</v>
      </c>
      <c r="AK18" t="s">
        <v>20</v>
      </c>
      <c r="AL18" t="s">
        <v>179</v>
      </c>
    </row>
    <row r="19" spans="1:38" x14ac:dyDescent="0.3">
      <c r="A19">
        <v>402</v>
      </c>
      <c r="B19" t="s">
        <v>240</v>
      </c>
      <c r="C19" t="s">
        <v>241</v>
      </c>
      <c r="D19">
        <v>3279</v>
      </c>
      <c r="E19" s="4">
        <v>44791</v>
      </c>
      <c r="F19" s="4">
        <v>45107</v>
      </c>
      <c r="G19">
        <v>316</v>
      </c>
      <c r="H19">
        <v>1</v>
      </c>
      <c r="I19">
        <v>10516</v>
      </c>
      <c r="L19">
        <v>10516</v>
      </c>
      <c r="M19">
        <v>10516</v>
      </c>
      <c r="N19">
        <v>0</v>
      </c>
      <c r="O19">
        <v>10516</v>
      </c>
      <c r="P19" t="s">
        <v>242</v>
      </c>
      <c r="Q19" t="s">
        <v>243</v>
      </c>
      <c r="R19" t="s">
        <v>244</v>
      </c>
      <c r="S19" t="s">
        <v>245</v>
      </c>
      <c r="T19" t="s">
        <v>246</v>
      </c>
      <c r="U19" t="s">
        <v>26</v>
      </c>
      <c r="V19">
        <v>10516</v>
      </c>
      <c r="X19">
        <v>10516</v>
      </c>
      <c r="Y19">
        <v>10516</v>
      </c>
      <c r="AA19">
        <v>10516</v>
      </c>
      <c r="AB19">
        <v>1</v>
      </c>
      <c r="AC19">
        <v>0</v>
      </c>
      <c r="AD19">
        <v>10516</v>
      </c>
      <c r="AE19">
        <v>0</v>
      </c>
      <c r="AF19">
        <v>0</v>
      </c>
      <c r="AG19" t="s">
        <v>121</v>
      </c>
      <c r="AH19">
        <v>41</v>
      </c>
      <c r="AI19" t="s">
        <v>15</v>
      </c>
      <c r="AJ19">
        <v>0</v>
      </c>
      <c r="AK19" t="s">
        <v>224</v>
      </c>
      <c r="AL19" t="s">
        <v>122</v>
      </c>
    </row>
    <row r="20" spans="1:38" x14ac:dyDescent="0.3">
      <c r="A20">
        <v>402</v>
      </c>
      <c r="B20" t="s">
        <v>165</v>
      </c>
      <c r="C20" t="s">
        <v>166</v>
      </c>
      <c r="D20">
        <v>3151</v>
      </c>
      <c r="E20" s="4">
        <v>44854</v>
      </c>
      <c r="F20" s="4">
        <v>45107</v>
      </c>
      <c r="G20">
        <v>253</v>
      </c>
      <c r="H20">
        <v>1</v>
      </c>
      <c r="I20">
        <v>240000</v>
      </c>
      <c r="J20">
        <v>-20101.62</v>
      </c>
      <c r="L20">
        <v>219898.38</v>
      </c>
      <c r="M20">
        <v>219898.38</v>
      </c>
      <c r="N20">
        <v>0</v>
      </c>
      <c r="O20">
        <v>240000</v>
      </c>
      <c r="P20" t="s">
        <v>167</v>
      </c>
      <c r="Q20" t="s">
        <v>168</v>
      </c>
      <c r="R20" t="s">
        <v>169</v>
      </c>
      <c r="S20" t="s">
        <v>170</v>
      </c>
      <c r="T20" t="s">
        <v>171</v>
      </c>
      <c r="U20" t="s">
        <v>26</v>
      </c>
      <c r="V20">
        <v>219898.38</v>
      </c>
      <c r="W20">
        <v>0</v>
      </c>
      <c r="X20">
        <v>219898.38</v>
      </c>
      <c r="Y20">
        <v>219898.38</v>
      </c>
      <c r="Z20">
        <v>0</v>
      </c>
      <c r="AA20">
        <v>219898.38</v>
      </c>
      <c r="AB20">
        <v>0.91624325000000006</v>
      </c>
      <c r="AC20">
        <v>-20101.62</v>
      </c>
      <c r="AD20">
        <v>219898.38</v>
      </c>
      <c r="AE20">
        <v>0</v>
      </c>
      <c r="AF20">
        <v>0</v>
      </c>
      <c r="AG20" t="s">
        <v>121</v>
      </c>
      <c r="AH20" t="s">
        <v>21</v>
      </c>
      <c r="AI20" t="s">
        <v>15</v>
      </c>
      <c r="AJ20" t="s">
        <v>15</v>
      </c>
      <c r="AK20" t="s">
        <v>25</v>
      </c>
      <c r="AL20" t="s">
        <v>122</v>
      </c>
    </row>
    <row r="21" spans="1:38" x14ac:dyDescent="0.3">
      <c r="A21">
        <v>402</v>
      </c>
      <c r="B21" t="s">
        <v>247</v>
      </c>
      <c r="C21" t="s">
        <v>248</v>
      </c>
      <c r="D21">
        <v>3279</v>
      </c>
      <c r="E21" s="4">
        <v>44791</v>
      </c>
      <c r="F21" s="4">
        <v>45107</v>
      </c>
      <c r="G21">
        <v>316</v>
      </c>
      <c r="H21">
        <v>1</v>
      </c>
      <c r="I21">
        <v>3816</v>
      </c>
      <c r="J21">
        <v>0</v>
      </c>
      <c r="L21">
        <v>3816</v>
      </c>
      <c r="M21">
        <v>3816</v>
      </c>
      <c r="N21">
        <v>0</v>
      </c>
      <c r="O21">
        <v>3816</v>
      </c>
      <c r="P21" t="s">
        <v>249</v>
      </c>
      <c r="Q21" t="s">
        <v>250</v>
      </c>
      <c r="R21" t="s">
        <v>21</v>
      </c>
      <c r="S21" t="s">
        <v>21</v>
      </c>
      <c r="T21" t="s">
        <v>251</v>
      </c>
      <c r="U21" t="s">
        <v>26</v>
      </c>
      <c r="V21">
        <v>3816</v>
      </c>
      <c r="X21">
        <v>3816</v>
      </c>
      <c r="Y21">
        <v>0</v>
      </c>
      <c r="AA21">
        <v>0</v>
      </c>
      <c r="AB21">
        <v>0</v>
      </c>
      <c r="AD21">
        <v>3816</v>
      </c>
      <c r="AE21">
        <v>0</v>
      </c>
      <c r="AF21">
        <v>0</v>
      </c>
      <c r="AG21" t="s">
        <v>121</v>
      </c>
      <c r="AH21" t="s">
        <v>21</v>
      </c>
      <c r="AI21" t="s">
        <v>21</v>
      </c>
      <c r="AJ21" t="s">
        <v>15</v>
      </c>
      <c r="AK21" t="s">
        <v>224</v>
      </c>
      <c r="AL21" t="s">
        <v>122</v>
      </c>
    </row>
    <row r="22" spans="1:38" ht="28.8" x14ac:dyDescent="0.3">
      <c r="A22">
        <v>402</v>
      </c>
      <c r="B22" t="s">
        <v>158</v>
      </c>
      <c r="C22" t="s">
        <v>159</v>
      </c>
      <c r="D22">
        <v>3151</v>
      </c>
      <c r="E22" s="4">
        <v>44854</v>
      </c>
      <c r="F22" s="4">
        <v>45473</v>
      </c>
      <c r="G22">
        <v>619</v>
      </c>
      <c r="H22">
        <v>1.5605815831987075</v>
      </c>
      <c r="I22">
        <v>1040000</v>
      </c>
      <c r="J22">
        <v>0</v>
      </c>
      <c r="K22">
        <v>0</v>
      </c>
      <c r="L22">
        <v>1040000</v>
      </c>
      <c r="M22">
        <v>1040000</v>
      </c>
      <c r="N22">
        <v>0</v>
      </c>
      <c r="O22">
        <v>1040000</v>
      </c>
      <c r="P22" t="s">
        <v>160</v>
      </c>
      <c r="Q22" t="s">
        <v>1054</v>
      </c>
      <c r="R22" t="s">
        <v>162</v>
      </c>
      <c r="S22" t="s">
        <v>163</v>
      </c>
      <c r="T22" s="1" t="s">
        <v>164</v>
      </c>
      <c r="U22" t="s">
        <v>22</v>
      </c>
      <c r="V22">
        <v>1040000</v>
      </c>
      <c r="W22">
        <v>0</v>
      </c>
      <c r="X22">
        <v>1040000</v>
      </c>
      <c r="Y22">
        <v>1013033.0800000001</v>
      </c>
      <c r="Z22">
        <v>0</v>
      </c>
      <c r="AA22">
        <v>1013033.0800000001</v>
      </c>
      <c r="AB22">
        <v>0.97407026923076934</v>
      </c>
      <c r="AC22">
        <v>0</v>
      </c>
      <c r="AD22">
        <v>1040000</v>
      </c>
      <c r="AE22">
        <v>0</v>
      </c>
      <c r="AF22">
        <v>0</v>
      </c>
      <c r="AG22" t="s">
        <v>121</v>
      </c>
      <c r="AH22" t="s">
        <v>21</v>
      </c>
      <c r="AI22" t="s">
        <v>15</v>
      </c>
      <c r="AJ22" t="s">
        <v>15</v>
      </c>
      <c r="AK22" t="s">
        <v>25</v>
      </c>
      <c r="AL22" t="s">
        <v>122</v>
      </c>
    </row>
    <row r="23" spans="1:38" x14ac:dyDescent="0.3">
      <c r="A23">
        <v>402</v>
      </c>
      <c r="B23" t="s">
        <v>267</v>
      </c>
      <c r="C23" t="s">
        <v>268</v>
      </c>
      <c r="D23" t="s">
        <v>254</v>
      </c>
      <c r="E23" s="4">
        <v>44854</v>
      </c>
      <c r="F23" s="4">
        <v>45838</v>
      </c>
      <c r="G23">
        <v>984</v>
      </c>
      <c r="H23">
        <v>0.98170731707317072</v>
      </c>
      <c r="I23">
        <v>2909528</v>
      </c>
      <c r="J23">
        <v>-400000</v>
      </c>
      <c r="L23">
        <v>2509528</v>
      </c>
      <c r="M23">
        <v>2909528</v>
      </c>
      <c r="N23">
        <v>-400000</v>
      </c>
      <c r="O23">
        <v>2909528</v>
      </c>
      <c r="P23" t="s">
        <v>269</v>
      </c>
      <c r="Q23" t="s">
        <v>270</v>
      </c>
      <c r="R23" t="s">
        <v>271</v>
      </c>
      <c r="S23" t="s">
        <v>272</v>
      </c>
      <c r="T23" t="s">
        <v>1055</v>
      </c>
      <c r="U23" t="s">
        <v>22</v>
      </c>
      <c r="V23">
        <v>2509527.75</v>
      </c>
      <c r="W23">
        <v>0</v>
      </c>
      <c r="X23">
        <v>2509527.75</v>
      </c>
      <c r="Y23">
        <v>2174880.7399999998</v>
      </c>
      <c r="Z23">
        <v>27432.639999999999</v>
      </c>
      <c r="AA23">
        <v>2202313.38</v>
      </c>
      <c r="AB23">
        <v>0.75693149541781346</v>
      </c>
      <c r="AC23">
        <v>-400000</v>
      </c>
      <c r="AD23">
        <v>2509528</v>
      </c>
      <c r="AE23">
        <v>400000</v>
      </c>
      <c r="AF23">
        <v>0</v>
      </c>
      <c r="AG23" t="s">
        <v>121</v>
      </c>
      <c r="AH23">
        <v>0</v>
      </c>
      <c r="AI23" t="s">
        <v>15</v>
      </c>
      <c r="AJ23" t="s">
        <v>15</v>
      </c>
      <c r="AK23" t="s">
        <v>25</v>
      </c>
      <c r="AL23" t="s">
        <v>179</v>
      </c>
    </row>
    <row r="24" spans="1:38" x14ac:dyDescent="0.3">
      <c r="A24">
        <v>402</v>
      </c>
      <c r="B24" t="s">
        <v>275</v>
      </c>
      <c r="C24" t="s">
        <v>276</v>
      </c>
      <c r="D24" t="s">
        <v>254</v>
      </c>
      <c r="E24" s="4">
        <v>44854</v>
      </c>
      <c r="F24" s="4">
        <v>46022</v>
      </c>
      <c r="G24">
        <v>1168</v>
      </c>
      <c r="H24">
        <v>0.82705479452054798</v>
      </c>
      <c r="I24">
        <v>1559280</v>
      </c>
      <c r="J24">
        <v>-59280</v>
      </c>
      <c r="K24">
        <v>0</v>
      </c>
      <c r="L24">
        <v>1500000</v>
      </c>
      <c r="M24">
        <v>1559280</v>
      </c>
      <c r="N24">
        <v>-59280</v>
      </c>
      <c r="O24">
        <v>1559280</v>
      </c>
      <c r="P24" t="s">
        <v>277</v>
      </c>
      <c r="Q24" t="s">
        <v>278</v>
      </c>
      <c r="R24" t="s">
        <v>1056</v>
      </c>
      <c r="S24" t="s">
        <v>280</v>
      </c>
      <c r="T24" t="s">
        <v>1057</v>
      </c>
      <c r="U24" t="s">
        <v>22</v>
      </c>
      <c r="V24">
        <v>1500000</v>
      </c>
      <c r="W24">
        <v>0</v>
      </c>
      <c r="X24">
        <v>1500000</v>
      </c>
      <c r="Y24">
        <v>811367.74</v>
      </c>
      <c r="Z24">
        <v>112176.58</v>
      </c>
      <c r="AA24">
        <v>923544.32</v>
      </c>
      <c r="AB24">
        <v>0.59228895387614788</v>
      </c>
      <c r="AC24">
        <v>-59280</v>
      </c>
      <c r="AD24">
        <v>1500000</v>
      </c>
      <c r="AE24">
        <v>59280</v>
      </c>
      <c r="AF24">
        <v>0</v>
      </c>
      <c r="AG24" t="s">
        <v>121</v>
      </c>
      <c r="AH24">
        <v>149</v>
      </c>
      <c r="AI24" t="s">
        <v>15</v>
      </c>
      <c r="AJ24" t="s">
        <v>15</v>
      </c>
      <c r="AK24" t="s">
        <v>25</v>
      </c>
      <c r="AL24" t="s">
        <v>122</v>
      </c>
    </row>
    <row r="25" spans="1:38" x14ac:dyDescent="0.3">
      <c r="A25">
        <v>402</v>
      </c>
      <c r="B25" t="s">
        <v>282</v>
      </c>
      <c r="C25" t="s">
        <v>283</v>
      </c>
      <c r="D25" t="s">
        <v>254</v>
      </c>
      <c r="E25" s="4">
        <v>44854</v>
      </c>
      <c r="F25" s="4">
        <v>46387</v>
      </c>
      <c r="G25">
        <v>1533</v>
      </c>
      <c r="H25">
        <v>0.63013698630136983</v>
      </c>
      <c r="I25">
        <v>2090000</v>
      </c>
      <c r="J25">
        <v>-59280</v>
      </c>
      <c r="L25">
        <v>2030720</v>
      </c>
      <c r="M25">
        <v>2090000</v>
      </c>
      <c r="N25">
        <v>-59280</v>
      </c>
      <c r="O25">
        <v>2090000</v>
      </c>
      <c r="P25" t="s">
        <v>284</v>
      </c>
      <c r="Q25" t="s">
        <v>285</v>
      </c>
      <c r="R25" t="s">
        <v>286</v>
      </c>
      <c r="S25" t="s">
        <v>287</v>
      </c>
      <c r="T25" t="s">
        <v>1058</v>
      </c>
      <c r="U25" t="s">
        <v>22</v>
      </c>
      <c r="V25">
        <v>2030668.26</v>
      </c>
      <c r="W25">
        <v>0</v>
      </c>
      <c r="X25">
        <v>2030668.26</v>
      </c>
      <c r="Y25">
        <v>1898936</v>
      </c>
      <c r="Z25">
        <v>0</v>
      </c>
      <c r="AA25">
        <v>1898936</v>
      </c>
      <c r="AB25">
        <v>0.90858181818181816</v>
      </c>
      <c r="AC25">
        <v>-59280</v>
      </c>
      <c r="AD25">
        <v>2030720</v>
      </c>
      <c r="AE25">
        <v>59280</v>
      </c>
      <c r="AF25">
        <v>51.739999999990687</v>
      </c>
      <c r="AG25" t="s">
        <v>121</v>
      </c>
      <c r="AH25">
        <v>13</v>
      </c>
      <c r="AI25" t="s">
        <v>15</v>
      </c>
      <c r="AJ25" t="s">
        <v>15</v>
      </c>
      <c r="AK25" t="s">
        <v>25</v>
      </c>
      <c r="AL25" t="s">
        <v>179</v>
      </c>
    </row>
    <row r="26" spans="1:38" x14ac:dyDescent="0.3">
      <c r="A26">
        <v>402</v>
      </c>
      <c r="B26" t="s">
        <v>289</v>
      </c>
      <c r="C26" t="s">
        <v>290</v>
      </c>
      <c r="D26" t="s">
        <v>254</v>
      </c>
      <c r="E26" s="4">
        <v>44854</v>
      </c>
      <c r="F26" s="4">
        <v>45657</v>
      </c>
      <c r="G26">
        <v>803</v>
      </c>
      <c r="H26">
        <v>1.2029887920298878</v>
      </c>
      <c r="I26">
        <v>470000</v>
      </c>
      <c r="J26">
        <v>0</v>
      </c>
      <c r="L26">
        <v>470000</v>
      </c>
      <c r="M26">
        <v>470000</v>
      </c>
      <c r="N26">
        <v>0</v>
      </c>
      <c r="O26">
        <v>470000</v>
      </c>
      <c r="P26" t="s">
        <v>291</v>
      </c>
      <c r="Q26" t="s">
        <v>292</v>
      </c>
      <c r="R26" t="s">
        <v>293</v>
      </c>
      <c r="S26" t="s">
        <v>294</v>
      </c>
      <c r="T26" t="s">
        <v>1059</v>
      </c>
      <c r="U26" t="s">
        <v>22</v>
      </c>
      <c r="V26">
        <v>470000</v>
      </c>
      <c r="W26">
        <v>0</v>
      </c>
      <c r="X26">
        <v>470000</v>
      </c>
      <c r="Y26">
        <v>395268.41</v>
      </c>
      <c r="Z26">
        <v>46058.96</v>
      </c>
      <c r="AA26">
        <v>441327.37</v>
      </c>
      <c r="AB26">
        <v>0.9389944042553191</v>
      </c>
      <c r="AC26">
        <v>0</v>
      </c>
      <c r="AD26">
        <v>470000</v>
      </c>
      <c r="AE26">
        <v>0</v>
      </c>
      <c r="AF26">
        <v>0</v>
      </c>
      <c r="AG26" t="s">
        <v>296</v>
      </c>
      <c r="AH26" t="s">
        <v>21</v>
      </c>
      <c r="AI26" t="s">
        <v>15</v>
      </c>
      <c r="AJ26" t="s">
        <v>15</v>
      </c>
      <c r="AK26" t="s">
        <v>25</v>
      </c>
      <c r="AL26" t="s">
        <v>122</v>
      </c>
    </row>
    <row r="27" spans="1:38" x14ac:dyDescent="0.3">
      <c r="A27">
        <v>402</v>
      </c>
      <c r="B27" t="s">
        <v>318</v>
      </c>
      <c r="C27" t="s">
        <v>319</v>
      </c>
      <c r="D27" t="s">
        <v>254</v>
      </c>
      <c r="E27" s="4">
        <v>45108</v>
      </c>
      <c r="F27" s="4">
        <v>45838</v>
      </c>
      <c r="G27">
        <v>730</v>
      </c>
      <c r="H27">
        <v>0.97534246575342465</v>
      </c>
      <c r="I27">
        <v>843813</v>
      </c>
      <c r="J27">
        <v>0</v>
      </c>
      <c r="L27">
        <v>843813</v>
      </c>
      <c r="M27">
        <v>843813</v>
      </c>
      <c r="N27">
        <v>0</v>
      </c>
      <c r="O27">
        <v>843813</v>
      </c>
      <c r="P27" t="s">
        <v>320</v>
      </c>
      <c r="Q27" t="s">
        <v>321</v>
      </c>
      <c r="R27" t="s">
        <v>322</v>
      </c>
      <c r="S27" t="s">
        <v>323</v>
      </c>
      <c r="T27" t="s">
        <v>1060</v>
      </c>
      <c r="U27" t="s">
        <v>22</v>
      </c>
      <c r="V27">
        <v>843813</v>
      </c>
      <c r="W27">
        <v>0</v>
      </c>
      <c r="X27">
        <v>843813</v>
      </c>
      <c r="Y27">
        <v>708466.01</v>
      </c>
      <c r="Z27">
        <v>61430.55</v>
      </c>
      <c r="AA27">
        <v>769896.56</v>
      </c>
      <c r="AB27">
        <v>0.91240187103066683</v>
      </c>
      <c r="AC27">
        <v>0</v>
      </c>
      <c r="AD27">
        <v>843813</v>
      </c>
      <c r="AE27">
        <v>0</v>
      </c>
      <c r="AF27">
        <v>0</v>
      </c>
      <c r="AG27" t="s">
        <v>121</v>
      </c>
      <c r="AH27">
        <v>292</v>
      </c>
      <c r="AI27" t="s">
        <v>15</v>
      </c>
      <c r="AJ27" t="s">
        <v>15</v>
      </c>
      <c r="AK27" t="s">
        <v>25</v>
      </c>
      <c r="AL27" t="s">
        <v>149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903A-AE71-4E3A-A184-EED1123E163C}">
  <dimension ref="A1:D55"/>
  <sheetViews>
    <sheetView tabSelected="1" workbookViewId="0">
      <selection activeCell="B40" sqref="B40"/>
    </sheetView>
  </sheetViews>
  <sheetFormatPr defaultRowHeight="14.4" x14ac:dyDescent="0.3"/>
  <cols>
    <col min="1" max="1" width="11.33203125" bestFit="1" customWidth="1"/>
    <col min="2" max="2" width="31.109375" bestFit="1" customWidth="1"/>
    <col min="3" max="3" width="40.6640625" bestFit="1" customWidth="1"/>
    <col min="4" max="4" width="15" customWidth="1"/>
    <col min="5" max="9" width="32" bestFit="1" customWidth="1"/>
    <col min="10" max="10" width="11.33203125" bestFit="1" customWidth="1"/>
  </cols>
  <sheetData>
    <row r="1" spans="1:2" x14ac:dyDescent="0.3">
      <c r="A1" t="s">
        <v>1061</v>
      </c>
    </row>
    <row r="2" spans="1:2" x14ac:dyDescent="0.3">
      <c r="A2">
        <v>136</v>
      </c>
    </row>
    <row r="5" spans="1:2" x14ac:dyDescent="0.3">
      <c r="A5" s="5" t="s">
        <v>113</v>
      </c>
      <c r="B5" t="s">
        <v>1061</v>
      </c>
    </row>
    <row r="6" spans="1:2" x14ac:dyDescent="0.3">
      <c r="A6" t="s">
        <v>232</v>
      </c>
      <c r="B6">
        <v>41</v>
      </c>
    </row>
    <row r="7" spans="1:2" x14ac:dyDescent="0.3">
      <c r="A7" t="s">
        <v>660</v>
      </c>
      <c r="B7">
        <v>3</v>
      </c>
    </row>
    <row r="8" spans="1:2" x14ac:dyDescent="0.3">
      <c r="A8" t="s">
        <v>122</v>
      </c>
      <c r="B8">
        <v>35</v>
      </c>
    </row>
    <row r="9" spans="1:2" x14ac:dyDescent="0.3">
      <c r="A9" t="s">
        <v>133</v>
      </c>
      <c r="B9">
        <v>13</v>
      </c>
    </row>
    <row r="10" spans="1:2" x14ac:dyDescent="0.3">
      <c r="A10" t="s">
        <v>179</v>
      </c>
      <c r="B10">
        <v>18</v>
      </c>
    </row>
    <row r="11" spans="1:2" x14ac:dyDescent="0.3">
      <c r="A11" t="s">
        <v>149</v>
      </c>
      <c r="B11">
        <v>26</v>
      </c>
    </row>
    <row r="12" spans="1:2" x14ac:dyDescent="0.3">
      <c r="A12" t="s">
        <v>1027</v>
      </c>
      <c r="B12">
        <v>136</v>
      </c>
    </row>
    <row r="16" spans="1:2" x14ac:dyDescent="0.3">
      <c r="A16" s="5" t="s">
        <v>1062</v>
      </c>
      <c r="B16" s="5" t="s">
        <v>96</v>
      </c>
    </row>
    <row r="17" spans="1:3" x14ac:dyDescent="0.3">
      <c r="A17" s="5" t="s">
        <v>113</v>
      </c>
      <c r="B17" t="s">
        <v>26</v>
      </c>
      <c r="C17" t="s">
        <v>1027</v>
      </c>
    </row>
    <row r="18" spans="1:3" x14ac:dyDescent="0.3">
      <c r="A18" t="s">
        <v>232</v>
      </c>
      <c r="B18">
        <v>27</v>
      </c>
      <c r="C18">
        <v>27</v>
      </c>
    </row>
    <row r="19" spans="1:3" x14ac:dyDescent="0.3">
      <c r="A19" t="s">
        <v>660</v>
      </c>
      <c r="B19">
        <v>2</v>
      </c>
      <c r="C19">
        <v>2</v>
      </c>
    </row>
    <row r="20" spans="1:3" x14ac:dyDescent="0.3">
      <c r="A20" t="s">
        <v>122</v>
      </c>
      <c r="B20">
        <v>16</v>
      </c>
      <c r="C20">
        <v>16</v>
      </c>
    </row>
    <row r="21" spans="1:3" x14ac:dyDescent="0.3">
      <c r="A21" t="s">
        <v>133</v>
      </c>
      <c r="B21">
        <v>9</v>
      </c>
      <c r="C21">
        <v>9</v>
      </c>
    </row>
    <row r="22" spans="1:3" x14ac:dyDescent="0.3">
      <c r="A22" t="s">
        <v>179</v>
      </c>
      <c r="B22">
        <v>16</v>
      </c>
      <c r="C22">
        <v>16</v>
      </c>
    </row>
    <row r="23" spans="1:3" x14ac:dyDescent="0.3">
      <c r="A23" t="s">
        <v>149</v>
      </c>
      <c r="B23">
        <v>13</v>
      </c>
      <c r="C23">
        <v>13</v>
      </c>
    </row>
    <row r="24" spans="1:3" x14ac:dyDescent="0.3">
      <c r="A24" t="s">
        <v>1027</v>
      </c>
      <c r="B24">
        <v>83</v>
      </c>
      <c r="C24">
        <v>83</v>
      </c>
    </row>
    <row r="28" spans="1:3" x14ac:dyDescent="0.3">
      <c r="A28" s="5" t="s">
        <v>112</v>
      </c>
      <c r="B28" t="s">
        <v>1063</v>
      </c>
    </row>
    <row r="29" spans="1:3" x14ac:dyDescent="0.3">
      <c r="A29" t="s">
        <v>224</v>
      </c>
      <c r="B29" s="176">
        <v>62463812.390000001</v>
      </c>
    </row>
    <row r="30" spans="1:3" x14ac:dyDescent="0.3">
      <c r="A30" t="s">
        <v>20</v>
      </c>
      <c r="B30" s="176">
        <v>8367054.2400000002</v>
      </c>
    </row>
    <row r="31" spans="1:3" x14ac:dyDescent="0.3">
      <c r="A31" t="s">
        <v>25</v>
      </c>
      <c r="B31" s="176">
        <v>391990152.14000005</v>
      </c>
    </row>
    <row r="32" spans="1:3" x14ac:dyDescent="0.3">
      <c r="A32" t="s">
        <v>14</v>
      </c>
      <c r="B32" s="176">
        <v>3888162</v>
      </c>
    </row>
    <row r="33" spans="1:3" x14ac:dyDescent="0.3">
      <c r="A33" t="s">
        <v>584</v>
      </c>
      <c r="B33" s="176">
        <v>14591605.85</v>
      </c>
    </row>
    <row r="34" spans="1:3" x14ac:dyDescent="0.3">
      <c r="A34" t="s">
        <v>1027</v>
      </c>
      <c r="B34" s="176">
        <v>481300786.62000006</v>
      </c>
    </row>
    <row r="37" spans="1:3" x14ac:dyDescent="0.3">
      <c r="A37" s="5" t="s">
        <v>113</v>
      </c>
      <c r="B37" t="s">
        <v>1063</v>
      </c>
    </row>
    <row r="38" spans="1:3" x14ac:dyDescent="0.3">
      <c r="A38" t="s">
        <v>232</v>
      </c>
      <c r="B38" s="176">
        <v>108882460.05999999</v>
      </c>
    </row>
    <row r="39" spans="1:3" x14ac:dyDescent="0.3">
      <c r="A39" t="s">
        <v>660</v>
      </c>
      <c r="B39" s="176">
        <v>80044280</v>
      </c>
    </row>
    <row r="40" spans="1:3" x14ac:dyDescent="0.3">
      <c r="A40" t="s">
        <v>122</v>
      </c>
      <c r="B40" s="176">
        <v>164844836.59999999</v>
      </c>
    </row>
    <row r="41" spans="1:3" x14ac:dyDescent="0.3">
      <c r="A41" t="s">
        <v>133</v>
      </c>
      <c r="B41" s="176">
        <v>67588002.25</v>
      </c>
    </row>
    <row r="42" spans="1:3" x14ac:dyDescent="0.3">
      <c r="A42" t="s">
        <v>179</v>
      </c>
      <c r="B42" s="176">
        <v>18423826.490000002</v>
      </c>
    </row>
    <row r="43" spans="1:3" x14ac:dyDescent="0.3">
      <c r="A43" t="s">
        <v>149</v>
      </c>
      <c r="B43" s="176">
        <v>41517381.219999991</v>
      </c>
    </row>
    <row r="44" spans="1:3" x14ac:dyDescent="0.3">
      <c r="A44" t="s">
        <v>1027</v>
      </c>
      <c r="B44" s="176">
        <v>481300786.61999995</v>
      </c>
    </row>
    <row r="45" spans="1:3" x14ac:dyDescent="0.3">
      <c r="B45" s="176"/>
    </row>
    <row r="46" spans="1:3" x14ac:dyDescent="0.3">
      <c r="B46" s="176"/>
    </row>
    <row r="48" spans="1:3" x14ac:dyDescent="0.3">
      <c r="A48" s="5" t="s">
        <v>77</v>
      </c>
      <c r="B48" t="s">
        <v>1063</v>
      </c>
      <c r="C48" t="s">
        <v>1064</v>
      </c>
    </row>
    <row r="49" spans="1:4" x14ac:dyDescent="0.3">
      <c r="A49">
        <v>400</v>
      </c>
      <c r="B49" s="176">
        <v>15285297.189999999</v>
      </c>
      <c r="C49" s="176">
        <v>10001108.910000002</v>
      </c>
      <c r="D49" s="181">
        <f>GETPIVOTDATA("Sum of Total Expended
DO NOT HARDCODE",$A$48,"Agency",400)/GETPIVOTDATA("Sum of Revised Approved Budget",$A$48,"Agency",400)</f>
        <v>0.6542960065273028</v>
      </c>
    </row>
    <row r="50" spans="1:4" x14ac:dyDescent="0.3">
      <c r="A50">
        <v>402</v>
      </c>
      <c r="B50" s="176">
        <v>46886598.859999999</v>
      </c>
      <c r="C50" s="176">
        <v>28973417.340000004</v>
      </c>
      <c r="D50" s="181">
        <f>GETPIVOTDATA("Sum of Total Expended
DO NOT HARDCODE",$A$48,"Agency",402)/GETPIVOTDATA("Sum of Revised Approved Budget",$A$48,"Agency",402)</f>
        <v>0.61794666374740759</v>
      </c>
    </row>
    <row r="51" spans="1:4" x14ac:dyDescent="0.3">
      <c r="A51">
        <v>406</v>
      </c>
      <c r="B51" s="176">
        <v>172409846.94999999</v>
      </c>
      <c r="C51" s="176">
        <v>125282107.66999999</v>
      </c>
      <c r="D51" s="181">
        <f>GETPIVOTDATA("Sum of Total Expended
DO NOT HARDCODE",$A$48,"Agency",406)/GETPIVOTDATA("Sum of Revised Approved Budget",$A$48,"Agency",406)</f>
        <v>0.72665285589130324</v>
      </c>
    </row>
    <row r="52" spans="1:4" x14ac:dyDescent="0.3">
      <c r="A52">
        <v>407</v>
      </c>
      <c r="B52" s="176">
        <v>145514608</v>
      </c>
      <c r="C52" s="176">
        <v>112115443.63</v>
      </c>
      <c r="D52" s="181">
        <f>GETPIVOTDATA("Sum of Total Expended
DO NOT HARDCODE",$A$48,"Agency",407)/GETPIVOTDATA("Sum of Revised Approved Budget",$A$48,"Agency",407)</f>
        <v>0.77047552249874451</v>
      </c>
    </row>
    <row r="53" spans="1:4" x14ac:dyDescent="0.3">
      <c r="A53">
        <v>409</v>
      </c>
      <c r="B53" s="176">
        <v>101091778.61999999</v>
      </c>
      <c r="C53" s="176">
        <v>56508009.469999991</v>
      </c>
      <c r="D53" s="181">
        <f>GETPIVOTDATA("Sum of Total Expended
DO NOT HARDCODE",$A$48,"Agency",409)/GETPIVOTDATA("Sum of Revised Approved Budget",$A$48,"Agency",409)</f>
        <v>0.55897730004742885</v>
      </c>
    </row>
    <row r="54" spans="1:4" x14ac:dyDescent="0.3">
      <c r="A54" t="s">
        <v>985</v>
      </c>
      <c r="B54" s="176">
        <v>112657</v>
      </c>
      <c r="C54" s="176">
        <v>111124.08</v>
      </c>
      <c r="D54" s="181">
        <f>GETPIVOTDATA("Sum of Total Expended
DO NOT HARDCODE",$A$48,"Agency","  ")/GETPIVOTDATA("Sum of Revised Approved Budget",$A$48,"Agency","  ")</f>
        <v>0.98639303372182818</v>
      </c>
    </row>
    <row r="55" spans="1:4" x14ac:dyDescent="0.3">
      <c r="A55" t="s">
        <v>1027</v>
      </c>
      <c r="B55" s="176">
        <v>481300786.62</v>
      </c>
      <c r="C55" s="176">
        <v>332991211.0999999</v>
      </c>
      <c r="D55" s="181">
        <f>GETPIVOTDATA("Sum of Total Expended
DO NOT HARDCODE",$A$48)/GETPIVOTDATA("Sum of Revised Approved Budget",$A$48)</f>
        <v>0.69185677721093253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504C0F23CB00479A274D137C637391" ma:contentTypeVersion="19" ma:contentTypeDescription="Create a new document." ma:contentTypeScope="" ma:versionID="058a921234f1ce475e66662353f7bd40">
  <xsd:schema xmlns:xsd="http://www.w3.org/2001/XMLSchema" xmlns:xs="http://www.w3.org/2001/XMLSchema" xmlns:p="http://schemas.microsoft.com/office/2006/metadata/properties" xmlns:ns2="b2d6e711-3e17-4231-b2e3-598fb9af2c65" xmlns:ns3="c436a804-7e1a-419f-b30d-27024cfbfd30" targetNamespace="http://schemas.microsoft.com/office/2006/metadata/properties" ma:root="true" ma:fieldsID="608d95a4a7caf9285d2c268a1c5dc3bc" ns2:_="" ns3:_="">
    <xsd:import namespace="b2d6e711-3e17-4231-b2e3-598fb9af2c65"/>
    <xsd:import namespace="c436a804-7e1a-419f-b30d-27024cfbfd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Item13"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6e711-3e17-4231-b2e3-598fb9af2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Item13" ma:index="24" nillable="true" ma:displayName="Other" ma:format="Dropdown" ma:internalName="Item13">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6a804-7e1a-419f-b30d-27024cfbfd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ce8772-851e-4034-8fc1-cb205edb53ba}" ma:internalName="TaxCatchAll" ma:showField="CatchAllData" ma:web="c436a804-7e1a-419f-b30d-27024cfbf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tem13 xmlns="b2d6e711-3e17-4231-b2e3-598fb9af2c65" xsi:nil="true"/>
    <lcf76f155ced4ddcb4097134ff3c332f xmlns="b2d6e711-3e17-4231-b2e3-598fb9af2c65">
      <Terms xmlns="http://schemas.microsoft.com/office/infopath/2007/PartnerControls"/>
    </lcf76f155ced4ddcb4097134ff3c332f>
    <TaxCatchAll xmlns="c436a804-7e1a-419f-b30d-27024cfbfd30" xsi:nil="true"/>
  </documentManagement>
</p:properties>
</file>

<file path=customXml/itemProps1.xml><?xml version="1.0" encoding="utf-8"?>
<ds:datastoreItem xmlns:ds="http://schemas.openxmlformats.org/officeDocument/2006/customXml" ds:itemID="{C7BCC050-2F4B-410B-B62B-3147AA80D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6e711-3e17-4231-b2e3-598fb9af2c65"/>
    <ds:schemaRef ds:uri="c436a804-7e1a-419f-b30d-27024cfbfd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6C395-212B-43E6-88F9-B9ED231A10D0}">
  <ds:schemaRefs>
    <ds:schemaRef ds:uri="http://schemas.microsoft.com/sharepoint/v3/contenttype/forms"/>
  </ds:schemaRefs>
</ds:datastoreItem>
</file>

<file path=customXml/itemProps3.xml><?xml version="1.0" encoding="utf-8"?>
<ds:datastoreItem xmlns:ds="http://schemas.openxmlformats.org/officeDocument/2006/customXml" ds:itemID="{B515363F-09BA-4F14-BE44-2D7B5229D498}">
  <ds:schemaRefs>
    <ds:schemaRef ds:uri="http://schemas.microsoft.com/office/2006/metadata/properties"/>
    <ds:schemaRef ds:uri="http://purl.org/dc/elements/1.1/"/>
    <ds:schemaRef ds:uri="http://schemas.microsoft.com/office/2006/documentManagement/types"/>
    <ds:schemaRef ds:uri="b2d6e711-3e17-4231-b2e3-598fb9af2c65"/>
    <ds:schemaRef ds:uri="http://schemas.microsoft.com/office/infopath/2007/PartnerControls"/>
    <ds:schemaRef ds:uri="http://www.w3.org/XML/1998/namespace"/>
    <ds:schemaRef ds:uri="http://purl.org/dc/dcmitype/"/>
    <ds:schemaRef ds:uri="c436a804-7e1a-419f-b30d-27024cfbfd30"/>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Data Validation</vt:lpstr>
      <vt:lpstr>Agency Projects</vt:lpstr>
      <vt:lpstr>3.13.24 IFC</vt:lpstr>
      <vt:lpstr>Charts</vt:lpstr>
      <vt:lpstr>Detail1</vt:lpstr>
      <vt:lpstr>Updated Pivot</vt:lpstr>
      <vt:lpstr>'Agency Projects'!Print_Area</vt:lpstr>
      <vt:lpstr>Charts!Print_Area</vt:lpstr>
      <vt:lpstr>'Agency Projects'!Print_Titles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Bartlett</dc:creator>
  <cp:keywords/>
  <dc:description/>
  <cp:lastModifiedBy>Nathan K. Orme</cp:lastModifiedBy>
  <cp:revision/>
  <dcterms:created xsi:type="dcterms:W3CDTF">2022-04-08T15:12:34Z</dcterms:created>
  <dcterms:modified xsi:type="dcterms:W3CDTF">2025-10-07T21:30:04Z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0x01010095504C0F23CB00479A274D137C637391</vt:lpwstr>
  </property>
  <property fmtid="{D5CDD505-2E9C-101B-9397-08002B2CF9AE}" pid="3" name="MediaServiceImageTags">
    <vt:lpwstr/>
  </property>
</Properties>
</file>